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Лист1!$A$21:$G$181</definedName>
    <definedName name="_xlnm.Print_Area" localSheetId="0">Лист1!$A$1:$G$188</definedName>
  </definedNames>
  <calcPr calcId="162913"/>
</workbook>
</file>

<file path=xl/calcChain.xml><?xml version="1.0" encoding="utf-8"?>
<calcChain xmlns="http://schemas.openxmlformats.org/spreadsheetml/2006/main">
  <c r="F173" i="1" l="1"/>
  <c r="F172" i="1"/>
  <c r="E172" i="1"/>
  <c r="F170" i="1"/>
  <c r="F168" i="1"/>
  <c r="F163" i="1"/>
  <c r="F158" i="1"/>
  <c r="F156" i="1"/>
  <c r="F155" i="1"/>
  <c r="E155" i="1"/>
  <c r="F152" i="1"/>
  <c r="E152" i="1"/>
  <c r="F148" i="1"/>
  <c r="F146" i="1"/>
  <c r="E146" i="1"/>
  <c r="F145" i="1"/>
  <c r="E145" i="1"/>
  <c r="F144" i="1"/>
  <c r="E143" i="1"/>
  <c r="F143" i="1"/>
  <c r="F142" i="1"/>
  <c r="F141" i="1"/>
  <c r="E141" i="1"/>
  <c r="F139" i="1"/>
  <c r="F138" i="1"/>
  <c r="F137" i="1"/>
  <c r="F136" i="1"/>
  <c r="F135" i="1"/>
  <c r="F134" i="1"/>
  <c r="F132" i="1"/>
  <c r="F130" i="1"/>
  <c r="F129" i="1"/>
  <c r="F128" i="1"/>
  <c r="E122" i="1"/>
  <c r="F120" i="1"/>
  <c r="E120" i="1"/>
  <c r="F119" i="1"/>
  <c r="F118" i="1"/>
  <c r="F116" i="1"/>
  <c r="F115" i="1"/>
  <c r="F114" i="1"/>
  <c r="F113" i="1"/>
  <c r="F108" i="1"/>
  <c r="F107" i="1"/>
  <c r="F106" i="1"/>
  <c r="F105" i="1"/>
  <c r="F104" i="1"/>
  <c r="F103" i="1"/>
  <c r="F102" i="1"/>
  <c r="F100" i="1"/>
  <c r="F99" i="1"/>
  <c r="F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76" i="1"/>
  <c r="E76" i="1"/>
  <c r="F75" i="1"/>
  <c r="E75" i="1"/>
  <c r="F70" i="1"/>
  <c r="E70" i="1"/>
  <c r="F68" i="1"/>
  <c r="F67" i="1"/>
  <c r="F66" i="1"/>
  <c r="F65" i="1"/>
  <c r="F61" i="1"/>
  <c r="E61" i="1"/>
  <c r="F60" i="1"/>
  <c r="E60" i="1"/>
  <c r="F59" i="1"/>
  <c r="E59" i="1"/>
  <c r="E56" i="1"/>
  <c r="F50" i="1"/>
  <c r="E50" i="1"/>
  <c r="F49" i="1"/>
  <c r="F48" i="1"/>
  <c r="F47" i="1"/>
  <c r="E47" i="1"/>
  <c r="F46" i="1"/>
  <c r="F45" i="1"/>
  <c r="E43" i="1"/>
  <c r="F40" i="1"/>
  <c r="F38" i="1"/>
  <c r="E38" i="1"/>
  <c r="F37" i="1"/>
  <c r="E37" i="1"/>
  <c r="F36" i="1"/>
  <c r="E36" i="1"/>
  <c r="F32" i="1"/>
  <c r="E32" i="1"/>
  <c r="F31" i="1"/>
  <c r="E31" i="1"/>
  <c r="F28" i="1"/>
  <c r="E28" i="1"/>
  <c r="F25" i="1"/>
  <c r="E25" i="1"/>
  <c r="F89" i="1"/>
  <c r="F82" i="1"/>
  <c r="F74" i="1"/>
  <c r="F180" i="1"/>
  <c r="F86" i="1"/>
  <c r="G86" i="1"/>
  <c r="F87" i="1"/>
  <c r="G87" i="1"/>
  <c r="F84" i="1"/>
  <c r="G85" i="1"/>
  <c r="G89" i="1"/>
  <c r="G82" i="1"/>
  <c r="G74" i="1"/>
  <c r="G132" i="1"/>
  <c r="G133" i="1"/>
  <c r="G59" i="1"/>
  <c r="G167" i="1"/>
  <c r="G134" i="1"/>
  <c r="G96" i="1"/>
  <c r="G94" i="1"/>
  <c r="G161" i="1"/>
  <c r="G142" i="1"/>
  <c r="G141" i="1"/>
  <c r="E181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88" i="1"/>
  <c r="G90" i="1"/>
  <c r="G91" i="1"/>
  <c r="G92" i="1"/>
  <c r="G93" i="1"/>
  <c r="G95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22" i="1"/>
  <c r="F181" i="1"/>
  <c r="G84" i="1"/>
  <c r="G181" i="1"/>
</calcChain>
</file>

<file path=xl/sharedStrings.xml><?xml version="1.0" encoding="utf-8"?>
<sst xmlns="http://schemas.openxmlformats.org/spreadsheetml/2006/main" count="499" uniqueCount="246">
  <si>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</si>
  <si>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</si>
  <si>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</si>
  <si>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</si>
  <si>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</si>
  <si>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</si>
  <si>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</si>
  <si>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</si>
  <si>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</si>
  <si>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</si>
  <si>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</si>
  <si>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</si>
  <si>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</si>
  <si>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</si>
  <si>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</si>
  <si>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</si>
  <si>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</si>
  <si>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</si>
  <si>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</si>
  <si>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</si>
  <si>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</si>
  <si>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</si>
  <si>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</si>
  <si>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</si>
  <si>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</si>
  <si>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</si>
  <si>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</si>
  <si>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</si>
  <si>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</si>
  <si>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</si>
  <si>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</si>
  <si>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</si>
  <si>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</si>
  <si>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</si>
  <si>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</si>
  <si>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</si>
  <si>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</si>
  <si>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</si>
  <si>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</si>
  <si>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</si>
  <si>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</si>
  <si>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</si>
  <si>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</si>
  <si>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</si>
  <si>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</si>
  <si>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</si>
  <si>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</si>
  <si>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</si>
  <si>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</si>
  <si>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</si>
  <si>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</si>
  <si>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</si>
  <si>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</si>
  <si>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</si>
  <si>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</si>
  <si>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</si>
  <si>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</si>
  <si>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</si>
  <si>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</si>
  <si>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</si>
  <si>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</si>
  <si>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</si>
  <si>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</si>
  <si>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</si>
  <si>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</si>
  <si>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</si>
  <si>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</si>
  <si>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</si>
  <si>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</si>
  <si>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</si>
  <si>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</si>
  <si>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</si>
  <si>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</si>
  <si>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</si>
  <si>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</si>
  <si>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</si>
  <si>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</si>
  <si>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</si>
  <si>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</si>
  <si>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</si>
  <si>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</si>
  <si>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</si>
  <si>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</si>
  <si>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</si>
  <si>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</si>
  <si>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</si>
  <si>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</si>
  <si>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</si>
  <si>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</si>
  <si>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</si>
  <si>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</si>
  <si>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</si>
  <si>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</si>
  <si>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</si>
  <si>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</si>
  <si>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</si>
  <si>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</si>
  <si>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</si>
  <si>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</si>
  <si>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</si>
  <si>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</si>
  <si>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</si>
  <si>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</si>
  <si>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</si>
  <si>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</si>
  <si>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</si>
  <si>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</si>
  <si>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</si>
  <si>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</si>
  <si>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</si>
  <si>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</si>
  <si>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</si>
  <si>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</si>
  <si>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</si>
  <si>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</si>
  <si>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</si>
  <si>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</si>
  <si>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</si>
  <si>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</si>
  <si>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</si>
  <si>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</si>
  <si>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</si>
  <si>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</si>
  <si>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</si>
  <si>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</si>
  <si>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</si>
  <si>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</si>
  <si>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</si>
  <si>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</si>
  <si>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</si>
  <si>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</si>
  <si>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</si>
  <si>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</si>
  <si>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</si>
  <si>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</si>
  <si>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</si>
  <si>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</si>
  <si>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</si>
  <si>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</si>
  <si>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</si>
  <si>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</si>
  <si>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</si>
  <si>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</si>
  <si>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</si>
  <si>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</si>
  <si>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</si>
  <si>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</si>
  <si>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</si>
  <si>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</si>
  <si>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</si>
  <si>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</si>
  <si>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</si>
  <si>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</si>
  <si>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</si>
  <si>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</si>
  <si>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</si>
  <si>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</si>
  <si>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</si>
  <si>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</si>
  <si>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</si>
  <si>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</si>
  <si>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</si>
  <si>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</si>
  <si>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</si>
  <si>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</si>
  <si>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</si>
  <si>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</si>
  <si>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</si>
  <si>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</si>
  <si>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</si>
  <si>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</si>
  <si>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</si>
  <si>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</si>
  <si>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</si>
  <si>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</si>
  <si>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</si>
  <si>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</si>
  <si>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</si>
  <si>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</si>
  <si>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</si>
  <si>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</si>
  <si>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</si>
  <si>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</si>
  <si>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</si>
  <si>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</si>
  <si>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</si>
  <si>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</si>
  <si>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</si>
  <si>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</si>
  <si>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</si>
  <si>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</si>
  <si>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</si>
  <si>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</si>
  <si>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</si>
  <si>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</si>
  <si>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</si>
  <si>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</si>
  <si>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</si>
  <si>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</si>
  <si>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</si>
  <si>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</si>
  <si>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</si>
  <si>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</si>
  <si>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</si>
  <si>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</si>
  <si>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</si>
  <si>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</si>
  <si>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</si>
  <si>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</si>
  <si>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</si>
  <si>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</si>
  <si>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</si>
  <si>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</si>
  <si>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</si>
  <si>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</si>
  <si>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</si>
  <si>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</si>
  <si>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</si>
  <si>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</si>
  <si>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</si>
  <si>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</si>
  <si>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</si>
  <si>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</si>
  <si>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</si>
  <si>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</si>
  <si>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</si>
  <si>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</si>
  <si>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</si>
  <si>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</si>
  <si>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</si>
  <si>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</si>
  <si>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</si>
  <si>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</si>
  <si>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</si>
  <si>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</si>
  <si>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</si>
  <si>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</si>
  <si>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</si>
  <si>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</si>
  <si>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</si>
  <si>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</si>
  <si>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</si>
  <si>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</si>
  <si>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декабрь </t>
    </r>
    <r>
      <rPr>
        <sz val="10"/>
        <color indexed="8"/>
        <rFont val="Courier New"/>
        <family val="3"/>
        <charset val="204"/>
      </rPr>
      <t>2021 год</t>
    </r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</si>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</sst>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0" fontId="5" fillId="2" borderId="3" xfId="3" applyFont="1" applyFill="1" applyBorder="1" applyAlignment="1">
      <alignment horizontal="left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186" fontId="13" fillId="2" borderId="3" xfId="0" applyNumberFormat="1" applyFont="1" applyFill="1" applyBorder="1" applyAlignment="1" applyProtection="1">
      <alignment horizontal="right" vertical="center"/>
      <protection locked="0" hidden="1"/>
    </xf>
    <xf numFmtId="186" fontId="5" fillId="0" borderId="2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/>
    <xf numFmtId="186" fontId="8" fillId="0" borderId="10" xfId="0" applyNumberFormat="1" applyFont="1" applyFill="1" applyBorder="1"/>
    <xf numFmtId="186" fontId="13" fillId="0" borderId="3" xfId="0" applyNumberFormat="1" applyFont="1" applyFill="1" applyBorder="1"/>
    <xf numFmtId="186" fontId="13" fillId="0" borderId="11" xfId="0" applyNumberFormat="1" applyFont="1" applyFill="1" applyBorder="1"/>
    <xf numFmtId="186" fontId="5" fillId="0" borderId="1" xfId="0" applyNumberFormat="1" applyFont="1" applyFill="1" applyBorder="1" applyAlignment="1">
      <alignment wrapText="1"/>
    </xf>
    <xf numFmtId="186" fontId="13" fillId="0" borderId="0" xfId="0" applyNumberFormat="1" applyFont="1" applyFill="1"/>
    <xf numFmtId="186" fontId="13" fillId="2" borderId="0" xfId="0" applyNumberFormat="1" applyFont="1" applyFill="1" applyAlignment="1">
      <alignment vertical="center"/>
    </xf>
    <xf numFmtId="186" fontId="5" fillId="2" borderId="1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86" fontId="13" fillId="2" borderId="14" xfId="0" applyNumberFormat="1" applyFont="1" applyFill="1" applyBorder="1" applyAlignment="1">
      <alignment horizontal="right" vertical="center"/>
    </xf>
    <xf numFmtId="186" fontId="13" fillId="2" borderId="3" xfId="0" applyNumberFormat="1" applyFont="1" applyFill="1" applyBorder="1" applyAlignment="1">
      <alignment horizontal="right" vertical="center"/>
    </xf>
    <xf numFmtId="186" fontId="13" fillId="2" borderId="16" xfId="0" applyNumberFormat="1" applyFont="1" applyFill="1" applyBorder="1" applyAlignment="1">
      <alignment horizontal="right" vertical="center"/>
    </xf>
    <xf numFmtId="186" fontId="13" fillId="2" borderId="9" xfId="0" applyNumberFormat="1" applyFont="1" applyFill="1" applyBorder="1" applyAlignment="1">
      <alignment vertical="center"/>
    </xf>
    <xf numFmtId="186" fontId="13" fillId="2" borderId="3" xfId="0" applyNumberFormat="1" applyFont="1" applyFill="1" applyBorder="1" applyAlignment="1">
      <alignment vertical="center"/>
    </xf>
    <xf numFmtId="186" fontId="13" fillId="2" borderId="12" xfId="0" applyNumberFormat="1" applyFont="1" applyFill="1" applyBorder="1" applyAlignment="1">
      <alignment vertical="center"/>
    </xf>
    <xf numFmtId="186" fontId="13" fillId="2" borderId="6" xfId="0" applyNumberFormat="1" applyFont="1" applyFill="1" applyBorder="1" applyAlignment="1">
      <alignment vertical="center"/>
    </xf>
    <xf numFmtId="186" fontId="13" fillId="2" borderId="5" xfId="0" applyNumberFormat="1" applyFont="1" applyFill="1" applyBorder="1" applyAlignment="1">
      <alignment vertical="center"/>
    </xf>
    <xf numFmtId="186" fontId="8" fillId="2" borderId="9" xfId="0" applyNumberFormat="1" applyFont="1" applyFill="1" applyBorder="1" applyAlignment="1">
      <alignment vertical="center"/>
    </xf>
    <xf numFmtId="186" fontId="8" fillId="2" borderId="3" xfId="0" applyNumberFormat="1" applyFont="1" applyFill="1" applyBorder="1" applyAlignment="1">
      <alignment vertical="center"/>
    </xf>
    <xf numFmtId="186" fontId="13" fillId="2" borderId="4" xfId="0" applyNumberFormat="1" applyFont="1" applyFill="1" applyBorder="1" applyAlignment="1">
      <alignment vertical="center"/>
    </xf>
    <xf numFmtId="186" fontId="13" fillId="2" borderId="8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abSelected="1" view="pageBreakPreview" zoomScale="130" zoomScaleNormal="130" zoomScaleSheetLayoutView="130" workbookViewId="0">
      <selection activeCell="B20" sqref="B20"/>
    </sheetView>
  </sheetViews>
  <sheetFormatPr defaultRowHeight="15" x14ac:dyDescent="0.25"/>
  <cols>
    <col min="1" max="1" width="20" style="2" customWidth="1"/>
    <col min="2" max="2" width="27.28515625" style="1" customWidth="1"/>
    <col min="3" max="3" width="31" customWidth="1"/>
    <col min="4" max="4" width="6.5703125" customWidth="1"/>
    <col min="5" max="5" width="11.42578125" style="60" customWidth="1"/>
    <col min="6" max="6" width="14.85546875" style="60" customWidth="1"/>
    <col min="7" max="7" width="14.85546875" style="59" customWidth="1"/>
  </cols>
  <sheetData>
    <row r="2" spans="1:6" x14ac:dyDescent="0.25">
      <c r="F2" s="60" t="s">
        <v>15</v>
      </c>
    </row>
    <row r="3" spans="1:6" x14ac:dyDescent="0.25">
      <c r="F3" s="60" t="s">
        <v>16</v>
      </c>
    </row>
    <row r="4" spans="1:6" x14ac:dyDescent="0.25">
      <c r="F4" s="60" t="s">
        <v>17</v>
      </c>
    </row>
    <row r="6" spans="1:6" x14ac:dyDescent="0.25">
      <c r="A6" s="77" t="s">
        <v>0</v>
      </c>
      <c r="B6" s="77"/>
      <c r="C6" s="77"/>
      <c r="D6" s="77"/>
      <c r="E6" s="77"/>
      <c r="F6" s="77"/>
    </row>
    <row r="7" spans="1:6" x14ac:dyDescent="0.25">
      <c r="A7" s="3"/>
    </row>
    <row r="8" spans="1:6" x14ac:dyDescent="0.25">
      <c r="A8" s="78" t="s">
        <v>7</v>
      </c>
      <c r="B8" s="78"/>
      <c r="C8" s="78"/>
      <c r="D8" s="78"/>
      <c r="E8" s="78"/>
      <c r="F8" s="78"/>
    </row>
    <row r="9" spans="1:6" x14ac:dyDescent="0.25">
      <c r="A9" s="78" t="s">
        <v>8</v>
      </c>
      <c r="B9" s="78"/>
      <c r="C9" s="78"/>
      <c r="D9" s="78"/>
      <c r="E9" s="78"/>
      <c r="F9" s="78"/>
    </row>
    <row r="10" spans="1:6" x14ac:dyDescent="0.25">
      <c r="A10" s="78" t="s">
        <v>9</v>
      </c>
      <c r="B10" s="78"/>
      <c r="C10" s="78"/>
      <c r="D10" s="78"/>
      <c r="E10" s="78"/>
      <c r="F10" s="78"/>
    </row>
    <row r="11" spans="1:6" x14ac:dyDescent="0.25">
      <c r="A11" s="78" t="s">
        <v>10</v>
      </c>
      <c r="B11" s="78"/>
      <c r="C11" s="78"/>
      <c r="D11" s="78"/>
      <c r="E11" s="78"/>
      <c r="F11" s="78"/>
    </row>
    <row r="12" spans="1:6" x14ac:dyDescent="0.25">
      <c r="A12" s="78" t="s">
        <v>11</v>
      </c>
      <c r="B12" s="78"/>
      <c r="C12" s="78"/>
      <c r="D12" s="78"/>
      <c r="E12" s="78"/>
      <c r="F12" s="78"/>
    </row>
    <row r="13" spans="1:6" x14ac:dyDescent="0.25">
      <c r="A13" s="78" t="s">
        <v>12</v>
      </c>
      <c r="B13" s="78"/>
      <c r="C13" s="78"/>
      <c r="D13" s="78"/>
      <c r="E13" s="78"/>
      <c r="F13" s="78"/>
    </row>
    <row r="14" spans="1:6" x14ac:dyDescent="0.25">
      <c r="A14" s="78" t="s">
        <v>243</v>
      </c>
      <c r="B14" s="78"/>
      <c r="C14" s="78"/>
      <c r="D14" s="78"/>
      <c r="E14" s="78"/>
      <c r="F14" s="78"/>
    </row>
    <row r="15" spans="1:6" x14ac:dyDescent="0.25">
      <c r="A15" s="78" t="s">
        <v>13</v>
      </c>
      <c r="B15" s="78"/>
      <c r="C15" s="78"/>
      <c r="D15" s="78"/>
      <c r="E15" s="78"/>
      <c r="F15" s="78"/>
    </row>
    <row r="16" spans="1:6" x14ac:dyDescent="0.25">
      <c r="A16" s="78"/>
      <c r="B16" s="78"/>
      <c r="C16" s="78"/>
      <c r="D16" s="78"/>
      <c r="E16" s="78"/>
      <c r="F16" s="78"/>
    </row>
    <row r="17" spans="1:7" x14ac:dyDescent="0.25">
      <c r="A17" s="78" t="s">
        <v>1</v>
      </c>
      <c r="B17" s="78"/>
      <c r="C17" s="78"/>
      <c r="D17" s="78"/>
      <c r="E17" s="78"/>
      <c r="F17" s="78"/>
    </row>
    <row r="18" spans="1:7" x14ac:dyDescent="0.25">
      <c r="A18" s="78" t="s">
        <v>14</v>
      </c>
      <c r="B18" s="78"/>
      <c r="C18" s="78"/>
      <c r="D18" s="78"/>
      <c r="E18" s="78"/>
      <c r="F18" s="78"/>
    </row>
    <row r="19" spans="1:7" ht="15.75" thickBot="1" x14ac:dyDescent="0.3">
      <c r="A19" s="3"/>
    </row>
    <row r="20" spans="1:7" ht="13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49" t="s">
        <v>225</v>
      </c>
      <c r="F20" s="49" t="s">
        <v>226</v>
      </c>
      <c r="G20" s="53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62">
        <v>4</v>
      </c>
      <c r="F21" s="64">
        <v>5</v>
      </c>
      <c r="G21" s="63">
        <v>8</v>
      </c>
    </row>
    <row r="22" spans="1:7" ht="30" x14ac:dyDescent="0.25">
      <c r="A22" s="30" t="s">
        <v>18</v>
      </c>
      <c r="B22" s="25" t="s">
        <v>21</v>
      </c>
      <c r="C22" s="25" t="s">
        <v>140</v>
      </c>
      <c r="D22" s="37">
        <v>5</v>
      </c>
      <c r="E22" s="65">
        <v>5.2724E-2</v>
      </c>
      <c r="F22" s="65">
        <v>3.8381999999999999E-2</v>
      </c>
      <c r="G22" s="54">
        <f>E22-F22</f>
        <v>1.4342000000000001E-2</v>
      </c>
    </row>
    <row r="23" spans="1:7" ht="15" customHeight="1" x14ac:dyDescent="0.25">
      <c r="A23" s="30" t="s">
        <v>18</v>
      </c>
      <c r="B23" s="25" t="s">
        <v>22</v>
      </c>
      <c r="C23" s="25" t="s">
        <v>179</v>
      </c>
      <c r="D23" s="34">
        <v>5</v>
      </c>
      <c r="E23" s="65">
        <v>1.9699999999999999E-2</v>
      </c>
      <c r="F23" s="65">
        <v>1.8159999999999999E-2</v>
      </c>
      <c r="G23" s="54">
        <f t="shared" ref="G23:G87" si="0">E23-F23</f>
        <v>1.5399999999999997E-3</v>
      </c>
    </row>
    <row r="24" spans="1:7" ht="30" x14ac:dyDescent="0.25">
      <c r="A24" s="30" t="s">
        <v>18</v>
      </c>
      <c r="B24" s="25" t="s">
        <v>19</v>
      </c>
      <c r="C24" s="25" t="s">
        <v>139</v>
      </c>
      <c r="D24" s="34">
        <v>3</v>
      </c>
      <c r="E24" s="65">
        <v>1.40683</v>
      </c>
      <c r="F24" s="65">
        <v>1.454434</v>
      </c>
      <c r="G24" s="54">
        <f t="shared" si="0"/>
        <v>-4.760399999999998E-2</v>
      </c>
    </row>
    <row r="25" spans="1:7" ht="30" x14ac:dyDescent="0.25">
      <c r="A25" s="30" t="s">
        <v>18</v>
      </c>
      <c r="B25" s="25" t="s">
        <v>20</v>
      </c>
      <c r="C25" s="25" t="s">
        <v>140</v>
      </c>
      <c r="D25" s="34">
        <v>4</v>
      </c>
      <c r="E25" s="66">
        <f>419.118/1000</f>
        <v>0.41911799999999999</v>
      </c>
      <c r="F25" s="66">
        <f>326.875/1000</f>
        <v>0.32687500000000003</v>
      </c>
      <c r="G25" s="54">
        <f t="shared" si="0"/>
        <v>9.2242999999999964E-2</v>
      </c>
    </row>
    <row r="26" spans="1:7" ht="45" x14ac:dyDescent="0.25">
      <c r="A26" s="30" t="s">
        <v>18</v>
      </c>
      <c r="B26" s="10" t="s">
        <v>182</v>
      </c>
      <c r="C26" s="12" t="s">
        <v>141</v>
      </c>
      <c r="D26" s="28">
        <v>3</v>
      </c>
      <c r="E26" s="65">
        <v>1.449E-3</v>
      </c>
      <c r="F26" s="65">
        <v>1.449E-3</v>
      </c>
      <c r="G26" s="54">
        <f t="shared" si="0"/>
        <v>0</v>
      </c>
    </row>
    <row r="27" spans="1:7" ht="45" x14ac:dyDescent="0.25">
      <c r="A27" s="30" t="s">
        <v>18</v>
      </c>
      <c r="B27" s="10" t="s">
        <v>183</v>
      </c>
      <c r="C27" s="12" t="s">
        <v>141</v>
      </c>
      <c r="D27" s="28">
        <v>3</v>
      </c>
      <c r="E27" s="65">
        <v>7.0499999999999998E-3</v>
      </c>
      <c r="F27" s="65">
        <v>7.0499999999999998E-3</v>
      </c>
      <c r="G27" s="54">
        <f t="shared" si="0"/>
        <v>0</v>
      </c>
    </row>
    <row r="28" spans="1:7" ht="30" x14ac:dyDescent="0.25">
      <c r="A28" s="17" t="s">
        <v>23</v>
      </c>
      <c r="B28" s="13" t="s">
        <v>24</v>
      </c>
      <c r="C28" s="14" t="s">
        <v>142</v>
      </c>
      <c r="D28" s="34">
        <v>6</v>
      </c>
      <c r="E28" s="67">
        <f>90/1000</f>
        <v>0.09</v>
      </c>
      <c r="F28" s="66">
        <f>81.038/1000</f>
        <v>8.1037999999999999E-2</v>
      </c>
      <c r="G28" s="54">
        <f t="shared" si="0"/>
        <v>8.9619999999999977E-3</v>
      </c>
    </row>
    <row r="29" spans="1:7" ht="30" x14ac:dyDescent="0.25">
      <c r="A29" s="17" t="s">
        <v>23</v>
      </c>
      <c r="B29" s="13" t="s">
        <v>25</v>
      </c>
      <c r="C29" s="15" t="s">
        <v>143</v>
      </c>
      <c r="D29" s="34">
        <v>5</v>
      </c>
      <c r="E29" s="68">
        <v>7.0000000000000007E-2</v>
      </c>
      <c r="F29" s="69">
        <v>5.9570999999999999E-2</v>
      </c>
      <c r="G29" s="54">
        <f t="shared" si="0"/>
        <v>1.0429000000000008E-2</v>
      </c>
    </row>
    <row r="30" spans="1:7" ht="45" x14ac:dyDescent="0.25">
      <c r="A30" s="17" t="s">
        <v>23</v>
      </c>
      <c r="B30" s="13" t="s">
        <v>26</v>
      </c>
      <c r="C30" s="15" t="s">
        <v>143</v>
      </c>
      <c r="D30" s="34">
        <v>6</v>
      </c>
      <c r="E30" s="68">
        <v>3.5999999999999999E-3</v>
      </c>
      <c r="F30" s="69">
        <v>4.2890000000000003E-3</v>
      </c>
      <c r="G30" s="54">
        <f t="shared" si="0"/>
        <v>-6.8900000000000038E-4</v>
      </c>
    </row>
    <row r="31" spans="1:7" ht="30" x14ac:dyDescent="0.25">
      <c r="A31" s="17" t="s">
        <v>27</v>
      </c>
      <c r="B31" s="25" t="s">
        <v>28</v>
      </c>
      <c r="C31" s="25" t="s">
        <v>180</v>
      </c>
      <c r="D31" s="34">
        <v>5</v>
      </c>
      <c r="E31" s="66">
        <f>97.243/1000</f>
        <v>9.7242999999999996E-2</v>
      </c>
      <c r="F31" s="66">
        <f>86.414/1000</f>
        <v>8.6414000000000005E-2</v>
      </c>
      <c r="G31" s="54">
        <f t="shared" si="0"/>
        <v>1.0828999999999991E-2</v>
      </c>
    </row>
    <row r="32" spans="1:7" ht="30" x14ac:dyDescent="0.25">
      <c r="A32" s="17" t="s">
        <v>27</v>
      </c>
      <c r="B32" s="25" t="s">
        <v>25</v>
      </c>
      <c r="C32" s="25" t="s">
        <v>144</v>
      </c>
      <c r="D32" s="34">
        <v>5</v>
      </c>
      <c r="E32" s="66">
        <f>120/1000</f>
        <v>0.12</v>
      </c>
      <c r="F32" s="66">
        <f>112.7/1000</f>
        <v>0.11270000000000001</v>
      </c>
      <c r="G32" s="54">
        <f t="shared" si="0"/>
        <v>7.2999999999999871E-3</v>
      </c>
    </row>
    <row r="33" spans="1:7" ht="45" x14ac:dyDescent="0.25">
      <c r="A33" s="17" t="s">
        <v>27</v>
      </c>
      <c r="B33" s="16" t="s">
        <v>184</v>
      </c>
      <c r="C33" s="11" t="s">
        <v>141</v>
      </c>
      <c r="D33" s="22">
        <v>3</v>
      </c>
      <c r="E33" s="69">
        <v>2.4099999999999998E-3</v>
      </c>
      <c r="F33" s="69">
        <v>2.4099999999999998E-3</v>
      </c>
      <c r="G33" s="54">
        <f t="shared" si="0"/>
        <v>0</v>
      </c>
    </row>
    <row r="34" spans="1:7" ht="60" x14ac:dyDescent="0.25">
      <c r="A34" s="17" t="s">
        <v>27</v>
      </c>
      <c r="B34" s="16" t="s">
        <v>185</v>
      </c>
      <c r="C34" s="11" t="s">
        <v>141</v>
      </c>
      <c r="D34" s="22">
        <v>3</v>
      </c>
      <c r="E34" s="69">
        <v>2.3960000000000001E-3</v>
      </c>
      <c r="F34" s="69">
        <v>2.3960000000000001E-3</v>
      </c>
      <c r="G34" s="54">
        <f t="shared" si="0"/>
        <v>0</v>
      </c>
    </row>
    <row r="35" spans="1:7" ht="60" x14ac:dyDescent="0.25">
      <c r="A35" s="17" t="s">
        <v>27</v>
      </c>
      <c r="B35" s="16" t="s">
        <v>29</v>
      </c>
      <c r="C35" s="11" t="s">
        <v>141</v>
      </c>
      <c r="D35" s="22">
        <v>3</v>
      </c>
      <c r="E35" s="69">
        <v>1E-3</v>
      </c>
      <c r="F35" s="69">
        <v>1E-3</v>
      </c>
      <c r="G35" s="54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4">
        <v>3</v>
      </c>
      <c r="E36" s="66">
        <f>2083.034/1000</f>
        <v>2.0830340000000001</v>
      </c>
      <c r="F36" s="66">
        <f>1613.343/1000</f>
        <v>1.613343</v>
      </c>
      <c r="G36" s="54">
        <f t="shared" si="0"/>
        <v>0.46969100000000008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4">
        <v>8</v>
      </c>
      <c r="E37" s="66">
        <f>1153.3/1000</f>
        <v>1.1533</v>
      </c>
      <c r="F37" s="66">
        <f>1150.058/1000</f>
        <v>1.150058</v>
      </c>
      <c r="G37" s="54">
        <f t="shared" si="0"/>
        <v>3.2419999999999671E-3</v>
      </c>
    </row>
    <row r="38" spans="1:7" ht="15" customHeight="1" x14ac:dyDescent="0.25">
      <c r="A38" s="30" t="s">
        <v>33</v>
      </c>
      <c r="B38" s="27" t="s">
        <v>34</v>
      </c>
      <c r="C38" s="30" t="s">
        <v>146</v>
      </c>
      <c r="D38" s="34">
        <v>4</v>
      </c>
      <c r="E38" s="66">
        <f>551.822/1000</f>
        <v>0.55182200000000003</v>
      </c>
      <c r="F38" s="66">
        <f>876.848/1000</f>
        <v>0.87684799999999996</v>
      </c>
      <c r="G38" s="54">
        <f t="shared" si="0"/>
        <v>-0.32502599999999993</v>
      </c>
    </row>
    <row r="39" spans="1:7" x14ac:dyDescent="0.25">
      <c r="A39" s="30" t="s">
        <v>33</v>
      </c>
      <c r="B39" s="16" t="s">
        <v>35</v>
      </c>
      <c r="C39" s="30" t="s">
        <v>146</v>
      </c>
      <c r="D39" s="34">
        <v>4</v>
      </c>
      <c r="E39" s="68">
        <v>0.59700299999999995</v>
      </c>
      <c r="F39" s="69">
        <v>0.569604</v>
      </c>
      <c r="G39" s="54">
        <f t="shared" si="0"/>
        <v>2.7398999999999951E-2</v>
      </c>
    </row>
    <row r="40" spans="1:7" ht="19.5" customHeight="1" x14ac:dyDescent="0.25">
      <c r="A40" s="30" t="s">
        <v>33</v>
      </c>
      <c r="B40" s="16" t="s">
        <v>36</v>
      </c>
      <c r="C40" s="11" t="s">
        <v>181</v>
      </c>
      <c r="D40" s="34">
        <v>4</v>
      </c>
      <c r="E40" s="68">
        <v>0.11</v>
      </c>
      <c r="F40" s="66">
        <f>33.072/1000</f>
        <v>3.3072000000000004E-2</v>
      </c>
      <c r="G40" s="54">
        <f t="shared" si="0"/>
        <v>7.6927999999999996E-2</v>
      </c>
    </row>
    <row r="41" spans="1:7" x14ac:dyDescent="0.25">
      <c r="A41" s="30" t="s">
        <v>33</v>
      </c>
      <c r="B41" s="16" t="s">
        <v>37</v>
      </c>
      <c r="C41" s="11" t="s">
        <v>37</v>
      </c>
      <c r="D41" s="34">
        <v>8</v>
      </c>
      <c r="E41" s="70">
        <v>0.02</v>
      </c>
      <c r="F41" s="69">
        <v>2.0655E-2</v>
      </c>
      <c r="G41" s="54">
        <f t="shared" si="0"/>
        <v>-6.5499999999999933E-4</v>
      </c>
    </row>
    <row r="42" spans="1:7" ht="45" x14ac:dyDescent="0.25">
      <c r="A42" s="30" t="s">
        <v>33</v>
      </c>
      <c r="B42" s="16" t="s">
        <v>186</v>
      </c>
      <c r="C42" s="11" t="s">
        <v>141</v>
      </c>
      <c r="D42" s="21">
        <v>3</v>
      </c>
      <c r="E42" s="69">
        <v>4.1830000000000001E-3</v>
      </c>
      <c r="F42" s="69">
        <v>4.1830000000000001E-3</v>
      </c>
      <c r="G42" s="54">
        <f t="shared" si="0"/>
        <v>0</v>
      </c>
    </row>
    <row r="43" spans="1:7" ht="45" x14ac:dyDescent="0.25">
      <c r="A43" s="30" t="s">
        <v>33</v>
      </c>
      <c r="B43" s="16" t="s">
        <v>187</v>
      </c>
      <c r="C43" s="11" t="s">
        <v>141</v>
      </c>
      <c r="D43" s="21">
        <v>3</v>
      </c>
      <c r="E43" s="66">
        <f>1.44/1000</f>
        <v>1.4399999999999999E-3</v>
      </c>
      <c r="F43" s="69">
        <v>1.4400000000000001E-3</v>
      </c>
      <c r="G43" s="54">
        <f>E43-F43</f>
        <v>0</v>
      </c>
    </row>
    <row r="44" spans="1:7" ht="45" x14ac:dyDescent="0.25">
      <c r="A44" s="30" t="s">
        <v>33</v>
      </c>
      <c r="B44" s="16" t="s">
        <v>188</v>
      </c>
      <c r="C44" s="11" t="s">
        <v>141</v>
      </c>
      <c r="D44" s="21">
        <v>3</v>
      </c>
      <c r="E44" s="69">
        <v>5.8E-4</v>
      </c>
      <c r="F44" s="69">
        <v>5.8E-4</v>
      </c>
      <c r="G44" s="54">
        <f t="shared" si="0"/>
        <v>0</v>
      </c>
    </row>
    <row r="45" spans="1:7" ht="60" x14ac:dyDescent="0.25">
      <c r="A45" s="30" t="s">
        <v>33</v>
      </c>
      <c r="B45" s="25" t="s">
        <v>230</v>
      </c>
      <c r="C45" s="11" t="s">
        <v>231</v>
      </c>
      <c r="D45" s="21">
        <v>4</v>
      </c>
      <c r="E45" s="69">
        <v>1.0999999999999999E-2</v>
      </c>
      <c r="F45" s="66">
        <f>9.807/1000</f>
        <v>9.8069999999999997E-3</v>
      </c>
      <c r="G45" s="54">
        <f t="shared" si="0"/>
        <v>1.1929999999999996E-3</v>
      </c>
    </row>
    <row r="46" spans="1:7" ht="30" x14ac:dyDescent="0.25">
      <c r="A46" s="30" t="s">
        <v>33</v>
      </c>
      <c r="B46" s="16" t="s">
        <v>39</v>
      </c>
      <c r="C46" s="11" t="s">
        <v>147</v>
      </c>
      <c r="D46" s="21">
        <v>6</v>
      </c>
      <c r="E46" s="71">
        <v>9.4999999999999998E-3</v>
      </c>
      <c r="F46" s="66">
        <f>5.065/1000</f>
        <v>5.0650000000000001E-3</v>
      </c>
      <c r="G46" s="54">
        <f t="shared" si="0"/>
        <v>4.4349999999999997E-3</v>
      </c>
    </row>
    <row r="47" spans="1:7" ht="45" x14ac:dyDescent="0.25">
      <c r="A47" s="30" t="s">
        <v>33</v>
      </c>
      <c r="B47" s="25" t="s">
        <v>234</v>
      </c>
      <c r="C47" s="38" t="s">
        <v>233</v>
      </c>
      <c r="D47" s="21">
        <v>6</v>
      </c>
      <c r="E47" s="66">
        <f>1/1000</f>
        <v>1E-3</v>
      </c>
      <c r="F47" s="66">
        <f>1.329/1000</f>
        <v>1.3289999999999999E-3</v>
      </c>
      <c r="G47" s="54">
        <f t="shared" si="0"/>
        <v>-3.2899999999999987E-4</v>
      </c>
    </row>
    <row r="48" spans="1:7" ht="45" x14ac:dyDescent="0.25">
      <c r="A48" s="30" t="s">
        <v>33</v>
      </c>
      <c r="B48" s="25" t="s">
        <v>235</v>
      </c>
      <c r="C48" s="11" t="s">
        <v>181</v>
      </c>
      <c r="D48" s="34">
        <v>6</v>
      </c>
      <c r="E48" s="69">
        <v>4.0000000000000001E-3</v>
      </c>
      <c r="F48" s="66">
        <f>3.942/1000</f>
        <v>3.9420000000000002E-3</v>
      </c>
      <c r="G48" s="54">
        <f t="shared" si="0"/>
        <v>5.7999999999999892E-5</v>
      </c>
    </row>
    <row r="49" spans="1:7" ht="30" x14ac:dyDescent="0.25">
      <c r="A49" s="30" t="s">
        <v>33</v>
      </c>
      <c r="B49" s="25" t="s">
        <v>38</v>
      </c>
      <c r="C49" s="25" t="s">
        <v>148</v>
      </c>
      <c r="D49" s="34">
        <v>7</v>
      </c>
      <c r="E49" s="72">
        <v>1.1999999999999999E-3</v>
      </c>
      <c r="F49" s="66">
        <f>1.369/1000</f>
        <v>1.369E-3</v>
      </c>
      <c r="G49" s="54">
        <f t="shared" si="0"/>
        <v>-1.690000000000001E-4</v>
      </c>
    </row>
    <row r="50" spans="1:7" ht="45" x14ac:dyDescent="0.25">
      <c r="A50" s="30" t="s">
        <v>33</v>
      </c>
      <c r="B50" s="25" t="s">
        <v>229</v>
      </c>
      <c r="C50" s="11" t="s">
        <v>181</v>
      </c>
      <c r="D50" s="34">
        <v>6</v>
      </c>
      <c r="E50" s="66">
        <f>2.7/1000</f>
        <v>2.7000000000000001E-3</v>
      </c>
      <c r="F50" s="66">
        <f>1.427/1000</f>
        <v>1.4270000000000001E-3</v>
      </c>
      <c r="G50" s="54">
        <f t="shared" si="0"/>
        <v>1.273E-3</v>
      </c>
    </row>
    <row r="51" spans="1:7" ht="45" x14ac:dyDescent="0.25">
      <c r="A51" s="30" t="s">
        <v>33</v>
      </c>
      <c r="B51" s="25" t="s">
        <v>232</v>
      </c>
      <c r="C51" s="25" t="s">
        <v>149</v>
      </c>
      <c r="D51" s="34">
        <v>7</v>
      </c>
      <c r="E51" s="69">
        <v>6.6000000000000005E-5</v>
      </c>
      <c r="F51" s="69">
        <v>0</v>
      </c>
      <c r="G51" s="54">
        <f t="shared" si="0"/>
        <v>6.6000000000000005E-5</v>
      </c>
    </row>
    <row r="52" spans="1:7" ht="30" x14ac:dyDescent="0.25">
      <c r="A52" s="30" t="s">
        <v>33</v>
      </c>
      <c r="B52" s="25" t="s">
        <v>189</v>
      </c>
      <c r="C52" s="25" t="s">
        <v>149</v>
      </c>
      <c r="D52" s="34">
        <v>7</v>
      </c>
      <c r="E52" s="69">
        <v>1.3300000000000001E-4</v>
      </c>
      <c r="F52" s="69">
        <v>0</v>
      </c>
      <c r="G52" s="54">
        <f t="shared" si="0"/>
        <v>1.3300000000000001E-4</v>
      </c>
    </row>
    <row r="53" spans="1:7" ht="30" x14ac:dyDescent="0.25">
      <c r="A53" s="30" t="s">
        <v>33</v>
      </c>
      <c r="B53" s="25" t="s">
        <v>40</v>
      </c>
      <c r="C53" s="25" t="s">
        <v>149</v>
      </c>
      <c r="D53" s="34">
        <v>7</v>
      </c>
      <c r="E53" s="69">
        <v>1.3300000000000001E-4</v>
      </c>
      <c r="F53" s="69">
        <v>2.14E-4</v>
      </c>
      <c r="G53" s="54">
        <f t="shared" si="0"/>
        <v>-8.099999999999999E-5</v>
      </c>
    </row>
    <row r="54" spans="1:7" ht="30" x14ac:dyDescent="0.25">
      <c r="A54" s="30" t="s">
        <v>33</v>
      </c>
      <c r="B54" s="16" t="s">
        <v>41</v>
      </c>
      <c r="C54" s="11" t="s">
        <v>150</v>
      </c>
      <c r="D54" s="34">
        <v>7</v>
      </c>
      <c r="E54" s="72">
        <v>2.1999999999999999E-5</v>
      </c>
      <c r="F54" s="69">
        <v>2.1999999999999999E-5</v>
      </c>
      <c r="G54" s="54">
        <f t="shared" si="0"/>
        <v>0</v>
      </c>
    </row>
    <row r="55" spans="1:7" ht="60" x14ac:dyDescent="0.25">
      <c r="A55" s="42" t="s">
        <v>33</v>
      </c>
      <c r="B55" s="43" t="s">
        <v>190</v>
      </c>
      <c r="C55" s="43" t="s">
        <v>191</v>
      </c>
      <c r="D55" s="44">
        <v>7</v>
      </c>
      <c r="E55" s="73">
        <v>2.1999999999999999E-5</v>
      </c>
      <c r="F55" s="74">
        <v>0</v>
      </c>
      <c r="G55" s="55">
        <f t="shared" si="0"/>
        <v>2.1999999999999999E-5</v>
      </c>
    </row>
    <row r="56" spans="1:7" ht="60" x14ac:dyDescent="0.25">
      <c r="A56" s="42" t="s">
        <v>33</v>
      </c>
      <c r="B56" s="43" t="s">
        <v>192</v>
      </c>
      <c r="C56" s="43" t="s">
        <v>191</v>
      </c>
      <c r="D56" s="44">
        <v>7</v>
      </c>
      <c r="E56" s="66">
        <f>0.133/1000</f>
        <v>1.3300000000000001E-4</v>
      </c>
      <c r="F56" s="74">
        <v>0</v>
      </c>
      <c r="G56" s="55">
        <f t="shared" si="0"/>
        <v>1.3300000000000001E-4</v>
      </c>
    </row>
    <row r="57" spans="1:7" ht="60" x14ac:dyDescent="0.25">
      <c r="A57" s="42" t="s">
        <v>33</v>
      </c>
      <c r="B57" s="43" t="s">
        <v>42</v>
      </c>
      <c r="C57" s="43" t="s">
        <v>191</v>
      </c>
      <c r="D57" s="44">
        <v>7</v>
      </c>
      <c r="E57" s="73">
        <v>2.1999999999999999E-5</v>
      </c>
      <c r="F57" s="74">
        <v>0</v>
      </c>
      <c r="G57" s="55">
        <f t="shared" si="0"/>
        <v>2.1999999999999999E-5</v>
      </c>
    </row>
    <row r="58" spans="1:7" ht="45" x14ac:dyDescent="0.25">
      <c r="A58" s="42" t="s">
        <v>33</v>
      </c>
      <c r="B58" s="43" t="s">
        <v>193</v>
      </c>
      <c r="C58" s="43" t="s">
        <v>191</v>
      </c>
      <c r="D58" s="44">
        <v>7</v>
      </c>
      <c r="E58" s="73">
        <v>4.3999999999999999E-5</v>
      </c>
      <c r="F58" s="74">
        <v>0</v>
      </c>
      <c r="G58" s="55">
        <f t="shared" si="0"/>
        <v>4.3999999999999999E-5</v>
      </c>
    </row>
    <row r="59" spans="1:7" ht="44.25" customHeight="1" x14ac:dyDescent="0.25">
      <c r="A59" s="42" t="s">
        <v>33</v>
      </c>
      <c r="B59" s="43" t="s">
        <v>240</v>
      </c>
      <c r="C59" s="45" t="s">
        <v>241</v>
      </c>
      <c r="D59" s="44">
        <v>4</v>
      </c>
      <c r="E59" s="66">
        <f>680.76/1000</f>
        <v>0.68076000000000003</v>
      </c>
      <c r="F59" s="66">
        <f>20/1000</f>
        <v>0.02</v>
      </c>
      <c r="G59" s="55">
        <f>E59-F59</f>
        <v>0.66076000000000001</v>
      </c>
    </row>
    <row r="60" spans="1:7" x14ac:dyDescent="0.25">
      <c r="A60" s="30" t="s">
        <v>43</v>
      </c>
      <c r="B60" s="27" t="s">
        <v>45</v>
      </c>
      <c r="C60" s="31" t="s">
        <v>151</v>
      </c>
      <c r="D60" s="34">
        <v>4</v>
      </c>
      <c r="E60" s="66">
        <f>550/1000</f>
        <v>0.55000000000000004</v>
      </c>
      <c r="F60" s="66">
        <f>653.14/1000</f>
        <v>0.65313999999999994</v>
      </c>
      <c r="G60" s="54">
        <f t="shared" si="0"/>
        <v>-0.1031399999999999</v>
      </c>
    </row>
    <row r="61" spans="1:7" x14ac:dyDescent="0.25">
      <c r="A61" s="30" t="s">
        <v>43</v>
      </c>
      <c r="B61" s="16" t="s">
        <v>44</v>
      </c>
      <c r="C61" s="31" t="s">
        <v>151</v>
      </c>
      <c r="D61" s="34">
        <v>4</v>
      </c>
      <c r="E61" s="66">
        <f>1000/1000</f>
        <v>1</v>
      </c>
      <c r="F61" s="66">
        <f>1034.233/1000</f>
        <v>1.034233</v>
      </c>
      <c r="G61" s="54">
        <f t="shared" si="0"/>
        <v>-3.4232999999999958E-2</v>
      </c>
    </row>
    <row r="62" spans="1:7" ht="45" x14ac:dyDescent="0.25">
      <c r="A62" s="30" t="s">
        <v>43</v>
      </c>
      <c r="B62" s="16" t="s">
        <v>194</v>
      </c>
      <c r="C62" s="11" t="s">
        <v>141</v>
      </c>
      <c r="D62" s="22">
        <v>3</v>
      </c>
      <c r="E62" s="69">
        <v>0.11523</v>
      </c>
      <c r="F62" s="69">
        <v>0.11523</v>
      </c>
      <c r="G62" s="54">
        <f t="shared" si="0"/>
        <v>0</v>
      </c>
    </row>
    <row r="63" spans="1:7" ht="60" x14ac:dyDescent="0.25">
      <c r="A63" s="30" t="s">
        <v>43</v>
      </c>
      <c r="B63" s="16" t="s">
        <v>195</v>
      </c>
      <c r="C63" s="11" t="s">
        <v>141</v>
      </c>
      <c r="D63" s="22">
        <v>3</v>
      </c>
      <c r="E63" s="69">
        <v>6.4999999999999997E-3</v>
      </c>
      <c r="F63" s="69">
        <v>6.4999999999999997E-3</v>
      </c>
      <c r="G63" s="54">
        <f>E63-F63</f>
        <v>0</v>
      </c>
    </row>
    <row r="64" spans="1:7" ht="60" x14ac:dyDescent="0.25">
      <c r="A64" s="30" t="s">
        <v>43</v>
      </c>
      <c r="B64" s="16" t="s">
        <v>196</v>
      </c>
      <c r="C64" s="11" t="s">
        <v>141</v>
      </c>
      <c r="D64" s="22">
        <v>3</v>
      </c>
      <c r="E64" s="69">
        <v>2.4600000000000002E-4</v>
      </c>
      <c r="F64" s="69">
        <v>2.4600000000000002E-4</v>
      </c>
      <c r="G64" s="54">
        <f t="shared" si="0"/>
        <v>0</v>
      </c>
    </row>
    <row r="65" spans="1:7" ht="45" x14ac:dyDescent="0.25">
      <c r="A65" s="30" t="s">
        <v>43</v>
      </c>
      <c r="B65" s="25" t="s">
        <v>46</v>
      </c>
      <c r="C65" s="25" t="s">
        <v>152</v>
      </c>
      <c r="D65" s="34">
        <v>6</v>
      </c>
      <c r="E65" s="72">
        <v>3.0000000000000001E-3</v>
      </c>
      <c r="F65" s="66">
        <f>1.166/1000</f>
        <v>1.1659999999999999E-3</v>
      </c>
      <c r="G65" s="54">
        <f t="shared" si="0"/>
        <v>1.8340000000000001E-3</v>
      </c>
    </row>
    <row r="66" spans="1:7" ht="30" x14ac:dyDescent="0.25">
      <c r="A66" s="30" t="s">
        <v>43</v>
      </c>
      <c r="B66" s="25" t="s">
        <v>197</v>
      </c>
      <c r="C66" s="39" t="s">
        <v>198</v>
      </c>
      <c r="D66" s="34">
        <v>4</v>
      </c>
      <c r="E66" s="68">
        <v>0.15</v>
      </c>
      <c r="F66" s="66">
        <f>93.526/1000</f>
        <v>9.3525999999999998E-2</v>
      </c>
      <c r="G66" s="54">
        <f t="shared" si="0"/>
        <v>5.6473999999999996E-2</v>
      </c>
    </row>
    <row r="67" spans="1:7" ht="15" customHeight="1" x14ac:dyDescent="0.25">
      <c r="A67" s="31" t="s">
        <v>47</v>
      </c>
      <c r="B67" s="46" t="s">
        <v>50</v>
      </c>
      <c r="C67" s="11" t="s">
        <v>153</v>
      </c>
      <c r="D67" s="47">
        <v>5</v>
      </c>
      <c r="E67" s="69">
        <v>0.04</v>
      </c>
      <c r="F67" s="66">
        <f>34.964/1000</f>
        <v>3.4964000000000002E-2</v>
      </c>
      <c r="G67" s="54">
        <f t="shared" si="0"/>
        <v>5.0359999999999988E-3</v>
      </c>
    </row>
    <row r="68" spans="1:7" ht="30" x14ac:dyDescent="0.25">
      <c r="A68" s="31" t="s">
        <v>47</v>
      </c>
      <c r="B68" s="46" t="s">
        <v>51</v>
      </c>
      <c r="C68" s="11" t="s">
        <v>153</v>
      </c>
      <c r="D68" s="47">
        <v>5</v>
      </c>
      <c r="E68" s="69">
        <v>3.5000000000000003E-2</v>
      </c>
      <c r="F68" s="66">
        <f>21.151/1000</f>
        <v>2.1151E-2</v>
      </c>
      <c r="G68" s="54">
        <f t="shared" si="0"/>
        <v>1.3849000000000004E-2</v>
      </c>
    </row>
    <row r="69" spans="1:7" ht="30" x14ac:dyDescent="0.25">
      <c r="A69" s="31" t="s">
        <v>47</v>
      </c>
      <c r="B69" s="46" t="s">
        <v>49</v>
      </c>
      <c r="C69" s="11" t="s">
        <v>153</v>
      </c>
      <c r="D69" s="47">
        <v>5</v>
      </c>
      <c r="E69" s="69">
        <v>0.04</v>
      </c>
      <c r="F69" s="69">
        <v>3.6298999999999998E-2</v>
      </c>
      <c r="G69" s="54">
        <f t="shared" si="0"/>
        <v>3.7010000000000029E-3</v>
      </c>
    </row>
    <row r="70" spans="1:7" ht="30" x14ac:dyDescent="0.25">
      <c r="A70" s="31" t="s">
        <v>47</v>
      </c>
      <c r="B70" s="46" t="s">
        <v>48</v>
      </c>
      <c r="C70" s="11" t="s">
        <v>153</v>
      </c>
      <c r="D70" s="47">
        <v>4</v>
      </c>
      <c r="E70" s="66">
        <f>580/1000</f>
        <v>0.57999999999999996</v>
      </c>
      <c r="F70" s="66">
        <f>496.842/1000</f>
        <v>0.49684200000000001</v>
      </c>
      <c r="G70" s="54">
        <f t="shared" si="0"/>
        <v>8.3157999999999954E-2</v>
      </c>
    </row>
    <row r="71" spans="1:7" ht="45" x14ac:dyDescent="0.25">
      <c r="A71" s="31" t="s">
        <v>47</v>
      </c>
      <c r="B71" s="16" t="s">
        <v>199</v>
      </c>
      <c r="C71" s="24" t="s">
        <v>141</v>
      </c>
      <c r="D71" s="22">
        <v>3</v>
      </c>
      <c r="E71" s="69">
        <v>7.4899999999999999E-4</v>
      </c>
      <c r="F71" s="69">
        <v>7.4899999999999999E-4</v>
      </c>
      <c r="G71" s="54">
        <f t="shared" si="0"/>
        <v>0</v>
      </c>
    </row>
    <row r="72" spans="1:7" ht="45" x14ac:dyDescent="0.25">
      <c r="A72" s="31" t="s">
        <v>47</v>
      </c>
      <c r="B72" s="16" t="s">
        <v>200</v>
      </c>
      <c r="C72" s="24" t="s">
        <v>141</v>
      </c>
      <c r="D72" s="22">
        <v>3</v>
      </c>
      <c r="E72" s="69">
        <v>1E-3</v>
      </c>
      <c r="F72" s="69">
        <v>1E-3</v>
      </c>
      <c r="G72" s="54">
        <f t="shared" si="0"/>
        <v>0</v>
      </c>
    </row>
    <row r="73" spans="1:7" ht="45" x14ac:dyDescent="0.25">
      <c r="A73" s="31" t="s">
        <v>47</v>
      </c>
      <c r="B73" s="16" t="s">
        <v>201</v>
      </c>
      <c r="C73" s="24" t="s">
        <v>141</v>
      </c>
      <c r="D73" s="22">
        <v>3</v>
      </c>
      <c r="E73" s="69">
        <v>4.1349999999999998E-3</v>
      </c>
      <c r="F73" s="69">
        <v>4.1349999999999998E-3</v>
      </c>
      <c r="G73" s="54">
        <f t="shared" si="0"/>
        <v>0</v>
      </c>
    </row>
    <row r="74" spans="1:7" x14ac:dyDescent="0.25">
      <c r="A74" s="31" t="s">
        <v>47</v>
      </c>
      <c r="B74" s="19" t="s">
        <v>52</v>
      </c>
      <c r="C74" s="11" t="s">
        <v>52</v>
      </c>
      <c r="D74" s="22">
        <v>8</v>
      </c>
      <c r="E74" s="69">
        <v>0</v>
      </c>
      <c r="F74" s="52">
        <f>11.069/1000</f>
        <v>1.1069000000000001E-2</v>
      </c>
      <c r="G74" s="54">
        <f t="shared" si="0"/>
        <v>-1.1069000000000001E-2</v>
      </c>
    </row>
    <row r="75" spans="1:7" ht="28.15" customHeight="1" x14ac:dyDescent="0.25">
      <c r="A75" s="11" t="s">
        <v>53</v>
      </c>
      <c r="B75" s="16" t="s">
        <v>54</v>
      </c>
      <c r="C75" s="11" t="s">
        <v>154</v>
      </c>
      <c r="D75" s="34">
        <v>4</v>
      </c>
      <c r="E75" s="66">
        <f>720.478/1000</f>
        <v>0.72047799999999995</v>
      </c>
      <c r="F75" s="66">
        <f>528.402/1000</f>
        <v>0.52840200000000004</v>
      </c>
      <c r="G75" s="54">
        <f t="shared" si="0"/>
        <v>0.19207599999999991</v>
      </c>
    </row>
    <row r="76" spans="1:7" ht="33.75" customHeight="1" x14ac:dyDescent="0.25">
      <c r="A76" s="11" t="s">
        <v>53</v>
      </c>
      <c r="B76" s="16" t="s">
        <v>55</v>
      </c>
      <c r="C76" s="11" t="s">
        <v>154</v>
      </c>
      <c r="D76" s="34">
        <v>4</v>
      </c>
      <c r="E76" s="66">
        <f>325.519/1000</f>
        <v>0.325519</v>
      </c>
      <c r="F76" s="66">
        <f>315.659/1000</f>
        <v>0.31565899999999997</v>
      </c>
      <c r="G76" s="54">
        <f t="shared" si="0"/>
        <v>9.8600000000000354E-3</v>
      </c>
    </row>
    <row r="77" spans="1:7" ht="60" x14ac:dyDescent="0.25">
      <c r="A77" s="11" t="s">
        <v>53</v>
      </c>
      <c r="B77" s="16" t="s">
        <v>202</v>
      </c>
      <c r="C77" s="11" t="s">
        <v>141</v>
      </c>
      <c r="D77" s="22">
        <v>3</v>
      </c>
      <c r="E77" s="69">
        <v>1.6570000000000001E-3</v>
      </c>
      <c r="F77" s="69">
        <v>1.6570000000000001E-3</v>
      </c>
      <c r="G77" s="54">
        <f t="shared" si="0"/>
        <v>0</v>
      </c>
    </row>
    <row r="78" spans="1:7" ht="60" x14ac:dyDescent="0.25">
      <c r="A78" s="11" t="s">
        <v>53</v>
      </c>
      <c r="B78" s="16" t="s">
        <v>203</v>
      </c>
      <c r="C78" s="11" t="s">
        <v>141</v>
      </c>
      <c r="D78" s="22">
        <v>3</v>
      </c>
      <c r="E78" s="69">
        <v>2.1100000000000001E-4</v>
      </c>
      <c r="F78" s="69">
        <v>2.1100000000000001E-4</v>
      </c>
      <c r="G78" s="54">
        <f t="shared" si="0"/>
        <v>0</v>
      </c>
    </row>
    <row r="79" spans="1:7" ht="45" x14ac:dyDescent="0.25">
      <c r="A79" s="11" t="s">
        <v>56</v>
      </c>
      <c r="B79" s="16" t="s">
        <v>57</v>
      </c>
      <c r="C79" s="11" t="s">
        <v>154</v>
      </c>
      <c r="D79" s="34">
        <v>5</v>
      </c>
      <c r="E79" s="71">
        <v>8.5000000000000006E-2</v>
      </c>
      <c r="F79" s="69">
        <v>6.9029999999999994E-2</v>
      </c>
      <c r="G79" s="54">
        <f t="shared" si="0"/>
        <v>1.5970000000000012E-2</v>
      </c>
    </row>
    <row r="80" spans="1:7" ht="45" x14ac:dyDescent="0.25">
      <c r="A80" s="11" t="s">
        <v>56</v>
      </c>
      <c r="B80" s="10" t="s">
        <v>58</v>
      </c>
      <c r="C80" s="24" t="s">
        <v>141</v>
      </c>
      <c r="D80" s="22">
        <v>3</v>
      </c>
      <c r="E80" s="69">
        <v>3.0100000000000001E-3</v>
      </c>
      <c r="F80" s="69">
        <v>3.0100000000000001E-3</v>
      </c>
      <c r="G80" s="54">
        <f t="shared" si="0"/>
        <v>0</v>
      </c>
    </row>
    <row r="81" spans="1:7" ht="60" x14ac:dyDescent="0.25">
      <c r="A81" s="11" t="s">
        <v>56</v>
      </c>
      <c r="B81" s="25" t="s">
        <v>178</v>
      </c>
      <c r="C81" s="24" t="s">
        <v>141</v>
      </c>
      <c r="D81" s="22">
        <v>3</v>
      </c>
      <c r="E81" s="69">
        <v>2.3479999999999998E-3</v>
      </c>
      <c r="F81" s="69">
        <v>2.3479999999999998E-3</v>
      </c>
      <c r="G81" s="54">
        <f t="shared" si="0"/>
        <v>0</v>
      </c>
    </row>
    <row r="82" spans="1:7" ht="26.25" customHeight="1" x14ac:dyDescent="0.25">
      <c r="A82" s="11" t="s">
        <v>56</v>
      </c>
      <c r="B82" s="16" t="s">
        <v>52</v>
      </c>
      <c r="C82" s="11" t="s">
        <v>52</v>
      </c>
      <c r="D82" s="22">
        <v>8</v>
      </c>
      <c r="E82" s="71">
        <v>0</v>
      </c>
      <c r="F82" s="52">
        <f>10.007/1000</f>
        <v>1.0007E-2</v>
      </c>
      <c r="G82" s="54">
        <f t="shared" si="0"/>
        <v>-1.0007E-2</v>
      </c>
    </row>
    <row r="83" spans="1:7" ht="60" x14ac:dyDescent="0.25">
      <c r="A83" s="18" t="s">
        <v>59</v>
      </c>
      <c r="B83" s="10" t="s">
        <v>60</v>
      </c>
      <c r="C83" s="11" t="s">
        <v>141</v>
      </c>
      <c r="D83" s="22">
        <v>3</v>
      </c>
      <c r="E83" s="69">
        <v>1E-3</v>
      </c>
      <c r="F83" s="69">
        <v>1E-3</v>
      </c>
      <c r="G83" s="54">
        <f t="shared" si="0"/>
        <v>0</v>
      </c>
    </row>
    <row r="84" spans="1:7" ht="30" x14ac:dyDescent="0.25">
      <c r="A84" s="11" t="s">
        <v>61</v>
      </c>
      <c r="B84" s="19" t="s">
        <v>62</v>
      </c>
      <c r="C84" s="11" t="s">
        <v>155</v>
      </c>
      <c r="D84" s="22">
        <v>4</v>
      </c>
      <c r="E84" s="72">
        <v>0</v>
      </c>
      <c r="F84" s="52">
        <f>35.078/1000</f>
        <v>3.5078000000000005E-2</v>
      </c>
      <c r="G84" s="54">
        <f>E84-F84</f>
        <v>-3.5078000000000005E-2</v>
      </c>
    </row>
    <row r="85" spans="1:7" x14ac:dyDescent="0.25">
      <c r="A85" s="11" t="s">
        <v>61</v>
      </c>
      <c r="B85" s="19" t="s">
        <v>52</v>
      </c>
      <c r="C85" s="11" t="s">
        <v>52</v>
      </c>
      <c r="D85" s="22">
        <v>8</v>
      </c>
      <c r="E85" s="68">
        <v>0</v>
      </c>
      <c r="F85" s="69">
        <v>0.12325</v>
      </c>
      <c r="G85" s="54">
        <f t="shared" si="0"/>
        <v>-0.12325</v>
      </c>
    </row>
    <row r="86" spans="1:7" ht="30" x14ac:dyDescent="0.25">
      <c r="A86" s="11" t="s">
        <v>63</v>
      </c>
      <c r="B86" s="19" t="s">
        <v>62</v>
      </c>
      <c r="C86" s="11" t="s">
        <v>155</v>
      </c>
      <c r="D86" s="22">
        <v>5</v>
      </c>
      <c r="E86" s="68">
        <v>0</v>
      </c>
      <c r="F86" s="52">
        <f>91.425/1000</f>
        <v>9.1424999999999992E-2</v>
      </c>
      <c r="G86" s="54">
        <f t="shared" si="0"/>
        <v>-9.1424999999999992E-2</v>
      </c>
    </row>
    <row r="87" spans="1:7" x14ac:dyDescent="0.25">
      <c r="A87" s="11" t="s">
        <v>63</v>
      </c>
      <c r="B87" s="19" t="s">
        <v>52</v>
      </c>
      <c r="C87" s="11" t="s">
        <v>52</v>
      </c>
      <c r="D87" s="22">
        <v>8</v>
      </c>
      <c r="E87" s="68">
        <v>0</v>
      </c>
      <c r="F87" s="69">
        <f>16.189/1000</f>
        <v>1.6188999999999999E-2</v>
      </c>
      <c r="G87" s="54">
        <f t="shared" si="0"/>
        <v>-1.6188999999999999E-2</v>
      </c>
    </row>
    <row r="88" spans="1:7" ht="30" x14ac:dyDescent="0.25">
      <c r="A88" s="11" t="s">
        <v>64</v>
      </c>
      <c r="B88" s="19" t="s">
        <v>62</v>
      </c>
      <c r="C88" s="11" t="s">
        <v>155</v>
      </c>
      <c r="D88" s="22">
        <v>5</v>
      </c>
      <c r="E88" s="68">
        <v>0</v>
      </c>
      <c r="F88" s="52">
        <v>0</v>
      </c>
      <c r="G88" s="54">
        <f t="shared" ref="G88:G99" si="1">E88-F88</f>
        <v>0</v>
      </c>
    </row>
    <row r="89" spans="1:7" x14ac:dyDescent="0.25">
      <c r="A89" s="11" t="s">
        <v>64</v>
      </c>
      <c r="B89" s="26" t="s">
        <v>52</v>
      </c>
      <c r="C89" s="24" t="s">
        <v>52</v>
      </c>
      <c r="D89" s="23">
        <v>8</v>
      </c>
      <c r="E89" s="70">
        <v>0</v>
      </c>
      <c r="F89" s="52">
        <f>7.564/1000</f>
        <v>7.5640000000000004E-3</v>
      </c>
      <c r="G89" s="54">
        <f t="shared" si="1"/>
        <v>-7.5640000000000004E-3</v>
      </c>
    </row>
    <row r="90" spans="1:7" ht="15" customHeight="1" x14ac:dyDescent="0.25">
      <c r="A90" s="30" t="s">
        <v>65</v>
      </c>
      <c r="B90" s="25" t="s">
        <v>66</v>
      </c>
      <c r="C90" s="12" t="s">
        <v>156</v>
      </c>
      <c r="D90" s="34">
        <v>4</v>
      </c>
      <c r="E90" s="66">
        <f>1293.791/1000</f>
        <v>1.2937909999999999</v>
      </c>
      <c r="F90" s="66">
        <f>1405.991/1000</f>
        <v>1.405991</v>
      </c>
      <c r="G90" s="54">
        <f t="shared" si="1"/>
        <v>-0.11220000000000008</v>
      </c>
    </row>
    <row r="91" spans="1:7" ht="45" x14ac:dyDescent="0.25">
      <c r="A91" s="30" t="s">
        <v>65</v>
      </c>
      <c r="B91" s="25" t="s">
        <v>70</v>
      </c>
      <c r="C91" s="12" t="s">
        <v>156</v>
      </c>
      <c r="D91" s="34">
        <v>4</v>
      </c>
      <c r="E91" s="66">
        <f>304.897/1000</f>
        <v>0.30489699999999997</v>
      </c>
      <c r="F91" s="66">
        <f>372.949/1000</f>
        <v>0.37294900000000003</v>
      </c>
      <c r="G91" s="54">
        <f t="shared" si="1"/>
        <v>-6.8052000000000057E-2</v>
      </c>
    </row>
    <row r="92" spans="1:7" ht="45" x14ac:dyDescent="0.25">
      <c r="A92" s="30" t="s">
        <v>65</v>
      </c>
      <c r="B92" s="25" t="s">
        <v>67</v>
      </c>
      <c r="C92" s="29" t="s">
        <v>156</v>
      </c>
      <c r="D92" s="34">
        <v>4</v>
      </c>
      <c r="E92" s="66">
        <f>571.075/1000</f>
        <v>0.571075</v>
      </c>
      <c r="F92" s="66">
        <f>696.861/1000</f>
        <v>0.69686099999999995</v>
      </c>
      <c r="G92" s="54">
        <f t="shared" si="1"/>
        <v>-0.12578599999999995</v>
      </c>
    </row>
    <row r="93" spans="1:7" ht="45" x14ac:dyDescent="0.25">
      <c r="A93" s="30" t="s">
        <v>65</v>
      </c>
      <c r="B93" s="25" t="s">
        <v>72</v>
      </c>
      <c r="C93" s="29" t="s">
        <v>156</v>
      </c>
      <c r="D93" s="34">
        <v>3</v>
      </c>
      <c r="E93" s="66">
        <f>201.35/1000</f>
        <v>0.20135</v>
      </c>
      <c r="F93" s="66">
        <f>249.113/1000</f>
        <v>0.249113</v>
      </c>
      <c r="G93" s="54">
        <f t="shared" si="1"/>
        <v>-4.7763E-2</v>
      </c>
    </row>
    <row r="94" spans="1:7" ht="45" x14ac:dyDescent="0.25">
      <c r="A94" s="30" t="s">
        <v>65</v>
      </c>
      <c r="B94" s="25" t="s">
        <v>68</v>
      </c>
      <c r="C94" s="29" t="s">
        <v>156</v>
      </c>
      <c r="D94" s="34">
        <v>4</v>
      </c>
      <c r="E94" s="66">
        <f>448.944/1000</f>
        <v>0.44894400000000001</v>
      </c>
      <c r="F94" s="66">
        <f>610.573/1000</f>
        <v>0.61057300000000003</v>
      </c>
      <c r="G94" s="54">
        <f>E94-F94</f>
        <v>-0.16162900000000002</v>
      </c>
    </row>
    <row r="95" spans="1:7" ht="45" x14ac:dyDescent="0.25">
      <c r="A95" s="30" t="s">
        <v>65</v>
      </c>
      <c r="B95" s="25" t="s">
        <v>69</v>
      </c>
      <c r="C95" s="29" t="s">
        <v>156</v>
      </c>
      <c r="D95" s="34">
        <v>4</v>
      </c>
      <c r="E95" s="66">
        <f>380.8/1000</f>
        <v>0.38080000000000003</v>
      </c>
      <c r="F95" s="66">
        <f>448.333/1000</f>
        <v>0.44833300000000004</v>
      </c>
      <c r="G95" s="54">
        <f t="shared" si="1"/>
        <v>-6.753300000000001E-2</v>
      </c>
    </row>
    <row r="96" spans="1:7" ht="45" x14ac:dyDescent="0.25">
      <c r="A96" s="30" t="s">
        <v>65</v>
      </c>
      <c r="B96" s="25" t="s">
        <v>238</v>
      </c>
      <c r="C96" s="29" t="s">
        <v>156</v>
      </c>
      <c r="D96" s="34">
        <v>4</v>
      </c>
      <c r="E96" s="66">
        <f>203.018/1000</f>
        <v>0.203018</v>
      </c>
      <c r="F96" s="66">
        <f>346.052/1000</f>
        <v>0.34605200000000003</v>
      </c>
      <c r="G96" s="54">
        <f t="shared" si="1"/>
        <v>-0.14303400000000002</v>
      </c>
    </row>
    <row r="97" spans="1:7" ht="45" x14ac:dyDescent="0.25">
      <c r="A97" s="30" t="s">
        <v>65</v>
      </c>
      <c r="B97" s="25" t="s">
        <v>71</v>
      </c>
      <c r="C97" s="29" t="s">
        <v>156</v>
      </c>
      <c r="D97" s="34">
        <v>4</v>
      </c>
      <c r="E97" s="66">
        <f>392.936/1000</f>
        <v>0.39293599999999995</v>
      </c>
      <c r="F97" s="66">
        <f>459.214/1000</f>
        <v>0.45921400000000001</v>
      </c>
      <c r="G97" s="54">
        <f t="shared" si="1"/>
        <v>-6.6278000000000059E-2</v>
      </c>
    </row>
    <row r="98" spans="1:7" x14ac:dyDescent="0.25">
      <c r="A98" s="30" t="s">
        <v>65</v>
      </c>
      <c r="B98" s="19" t="s">
        <v>73</v>
      </c>
      <c r="C98" s="11" t="s">
        <v>73</v>
      </c>
      <c r="D98" s="34">
        <v>8</v>
      </c>
      <c r="E98" s="71">
        <v>0.13500000000000001</v>
      </c>
      <c r="F98" s="66">
        <f>133.017/1000</f>
        <v>0.133017</v>
      </c>
      <c r="G98" s="54">
        <f t="shared" si="1"/>
        <v>1.9830000000000125E-3</v>
      </c>
    </row>
    <row r="99" spans="1:7" ht="30" x14ac:dyDescent="0.25">
      <c r="A99" s="30" t="s">
        <v>65</v>
      </c>
      <c r="B99" s="25" t="s">
        <v>79</v>
      </c>
      <c r="C99" s="11" t="s">
        <v>147</v>
      </c>
      <c r="D99" s="34">
        <v>6</v>
      </c>
      <c r="E99" s="69">
        <v>3.3999999999999998E-3</v>
      </c>
      <c r="F99" s="66">
        <f>3.684/1000</f>
        <v>3.6840000000000002E-3</v>
      </c>
      <c r="G99" s="54">
        <f t="shared" si="1"/>
        <v>-2.840000000000004E-4</v>
      </c>
    </row>
    <row r="100" spans="1:7" ht="45" x14ac:dyDescent="0.25">
      <c r="A100" s="30" t="s">
        <v>65</v>
      </c>
      <c r="B100" s="25" t="s">
        <v>81</v>
      </c>
      <c r="C100" s="11" t="s">
        <v>147</v>
      </c>
      <c r="D100" s="34">
        <v>6</v>
      </c>
      <c r="E100" s="69">
        <v>2.8E-3</v>
      </c>
      <c r="F100" s="66">
        <f>2.662/1000</f>
        <v>2.6619999999999999E-3</v>
      </c>
      <c r="G100" s="54">
        <f>E100-F100</f>
        <v>1.380000000000001E-4</v>
      </c>
    </row>
    <row r="101" spans="1:7" ht="30" x14ac:dyDescent="0.25">
      <c r="A101" s="30" t="s">
        <v>65</v>
      </c>
      <c r="B101" s="25" t="s">
        <v>74</v>
      </c>
      <c r="C101" s="11" t="s">
        <v>147</v>
      </c>
      <c r="D101" s="34">
        <v>6</v>
      </c>
      <c r="E101" s="69">
        <v>2.8000000000000001E-2</v>
      </c>
      <c r="F101" s="69">
        <v>2.4819000000000001E-2</v>
      </c>
      <c r="G101" s="54">
        <f t="shared" ref="G101:G113" si="2">E101-F101</f>
        <v>3.1809999999999998E-3</v>
      </c>
    </row>
    <row r="102" spans="1:7" ht="30" x14ac:dyDescent="0.25">
      <c r="A102" s="30" t="s">
        <v>65</v>
      </c>
      <c r="B102" s="25" t="s">
        <v>75</v>
      </c>
      <c r="C102" s="11" t="s">
        <v>147</v>
      </c>
      <c r="D102" s="34">
        <v>6</v>
      </c>
      <c r="E102" s="69">
        <v>8.0000000000000002E-3</v>
      </c>
      <c r="F102" s="66">
        <f>6.517/1000</f>
        <v>6.5170000000000002E-3</v>
      </c>
      <c r="G102" s="54">
        <f t="shared" si="2"/>
        <v>1.4829999999999999E-3</v>
      </c>
    </row>
    <row r="103" spans="1:7" ht="30" x14ac:dyDescent="0.25">
      <c r="A103" s="30" t="s">
        <v>65</v>
      </c>
      <c r="B103" s="25" t="s">
        <v>77</v>
      </c>
      <c r="C103" s="11" t="s">
        <v>147</v>
      </c>
      <c r="D103" s="34">
        <v>5</v>
      </c>
      <c r="E103" s="69">
        <v>6.4999999999999997E-3</v>
      </c>
      <c r="F103" s="66">
        <f>2.585/1000</f>
        <v>2.5850000000000001E-3</v>
      </c>
      <c r="G103" s="54">
        <f t="shared" si="2"/>
        <v>3.9150000000000001E-3</v>
      </c>
    </row>
    <row r="104" spans="1:7" ht="30" x14ac:dyDescent="0.25">
      <c r="A104" s="30" t="s">
        <v>65</v>
      </c>
      <c r="B104" s="25" t="s">
        <v>83</v>
      </c>
      <c r="C104" s="11" t="s">
        <v>147</v>
      </c>
      <c r="D104" s="34">
        <v>6</v>
      </c>
      <c r="E104" s="69">
        <v>3.3999999999999998E-3</v>
      </c>
      <c r="F104" s="66">
        <f>2.171/1000</f>
        <v>2.1709999999999998E-3</v>
      </c>
      <c r="G104" s="54">
        <f t="shared" si="2"/>
        <v>1.2290000000000001E-3</v>
      </c>
    </row>
    <row r="105" spans="1:7" ht="30" x14ac:dyDescent="0.25">
      <c r="A105" s="30" t="s">
        <v>65</v>
      </c>
      <c r="B105" s="25" t="s">
        <v>78</v>
      </c>
      <c r="C105" s="11" t="s">
        <v>147</v>
      </c>
      <c r="D105" s="34">
        <v>6</v>
      </c>
      <c r="E105" s="69">
        <v>4.1999999999999997E-3</v>
      </c>
      <c r="F105" s="66">
        <f>3.929/1000</f>
        <v>3.9290000000000002E-3</v>
      </c>
      <c r="G105" s="54">
        <f t="shared" si="2"/>
        <v>2.7099999999999954E-4</v>
      </c>
    </row>
    <row r="106" spans="1:7" ht="30" x14ac:dyDescent="0.25">
      <c r="A106" s="30" t="s">
        <v>65</v>
      </c>
      <c r="B106" s="25" t="s">
        <v>82</v>
      </c>
      <c r="C106" s="11" t="s">
        <v>147</v>
      </c>
      <c r="D106" s="34">
        <v>6</v>
      </c>
      <c r="E106" s="69">
        <v>3.5000000000000001E-3</v>
      </c>
      <c r="F106" s="66">
        <f>1.905/1000</f>
        <v>1.905E-3</v>
      </c>
      <c r="G106" s="54">
        <f t="shared" si="2"/>
        <v>1.5950000000000001E-3</v>
      </c>
    </row>
    <row r="107" spans="1:7" ht="30" x14ac:dyDescent="0.25">
      <c r="A107" s="30" t="s">
        <v>65</v>
      </c>
      <c r="B107" s="25" t="s">
        <v>76</v>
      </c>
      <c r="C107" s="11" t="s">
        <v>147</v>
      </c>
      <c r="D107" s="34">
        <v>6</v>
      </c>
      <c r="E107" s="69">
        <v>8.9999999999999993E-3</v>
      </c>
      <c r="F107" s="66">
        <f>8.346/1000</f>
        <v>8.3459999999999993E-3</v>
      </c>
      <c r="G107" s="54">
        <f t="shared" si="2"/>
        <v>6.5400000000000007E-4</v>
      </c>
    </row>
    <row r="108" spans="1:7" ht="30" x14ac:dyDescent="0.25">
      <c r="A108" s="30" t="s">
        <v>65</v>
      </c>
      <c r="B108" s="25" t="s">
        <v>80</v>
      </c>
      <c r="C108" s="11" t="s">
        <v>147</v>
      </c>
      <c r="D108" s="34">
        <v>6</v>
      </c>
      <c r="E108" s="69">
        <v>4.3E-3</v>
      </c>
      <c r="F108" s="66">
        <f>3.737/1000</f>
        <v>3.7370000000000003E-3</v>
      </c>
      <c r="G108" s="54">
        <f t="shared" si="2"/>
        <v>5.629999999999997E-4</v>
      </c>
    </row>
    <row r="109" spans="1:7" ht="30" x14ac:dyDescent="0.25">
      <c r="A109" s="30" t="s">
        <v>65</v>
      </c>
      <c r="B109" s="19" t="s">
        <v>84</v>
      </c>
      <c r="C109" s="11" t="s">
        <v>157</v>
      </c>
      <c r="D109" s="34">
        <v>5</v>
      </c>
      <c r="E109" s="71">
        <v>6.9000000000000006E-2</v>
      </c>
      <c r="F109" s="69">
        <v>5.7592999999999998E-2</v>
      </c>
      <c r="G109" s="54">
        <f t="shared" si="2"/>
        <v>1.1407000000000007E-2</v>
      </c>
    </row>
    <row r="110" spans="1:7" ht="45" x14ac:dyDescent="0.25">
      <c r="A110" s="30" t="s">
        <v>65</v>
      </c>
      <c r="B110" s="19" t="s">
        <v>204</v>
      </c>
      <c r="C110" s="11" t="s">
        <v>141</v>
      </c>
      <c r="D110" s="21">
        <v>3</v>
      </c>
      <c r="E110" s="69">
        <v>9.4629999999999992E-3</v>
      </c>
      <c r="F110" s="69">
        <v>9.4629999999999992E-3</v>
      </c>
      <c r="G110" s="54">
        <f t="shared" si="2"/>
        <v>0</v>
      </c>
    </row>
    <row r="111" spans="1:7" ht="45" x14ac:dyDescent="0.25">
      <c r="A111" s="30" t="s">
        <v>65</v>
      </c>
      <c r="B111" s="19" t="s">
        <v>205</v>
      </c>
      <c r="C111" s="11" t="s">
        <v>141</v>
      </c>
      <c r="D111" s="21">
        <v>3</v>
      </c>
      <c r="E111" s="69">
        <v>7.4000000000000003E-3</v>
      </c>
      <c r="F111" s="69">
        <v>7.4000000000000003E-3</v>
      </c>
      <c r="G111" s="54">
        <f t="shared" si="2"/>
        <v>0</v>
      </c>
    </row>
    <row r="112" spans="1:7" ht="45" x14ac:dyDescent="0.25">
      <c r="A112" s="30" t="s">
        <v>65</v>
      </c>
      <c r="B112" s="19" t="s">
        <v>206</v>
      </c>
      <c r="C112" s="11" t="s">
        <v>141</v>
      </c>
      <c r="D112" s="21">
        <v>3</v>
      </c>
      <c r="E112" s="69">
        <v>1.8799999999999999E-3</v>
      </c>
      <c r="F112" s="69">
        <v>1.8799999999999999E-3</v>
      </c>
      <c r="G112" s="54">
        <f t="shared" si="2"/>
        <v>0</v>
      </c>
    </row>
    <row r="113" spans="1:7" ht="30" x14ac:dyDescent="0.25">
      <c r="A113" s="30" t="s">
        <v>65</v>
      </c>
      <c r="B113" s="25" t="s">
        <v>88</v>
      </c>
      <c r="C113" s="11" t="s">
        <v>181</v>
      </c>
      <c r="D113" s="34">
        <v>7</v>
      </c>
      <c r="E113" s="72">
        <v>8.9999999999999998E-4</v>
      </c>
      <c r="F113" s="66">
        <f>1.695/1000</f>
        <v>1.6950000000000001E-3</v>
      </c>
      <c r="G113" s="54">
        <f t="shared" si="2"/>
        <v>-7.9500000000000013E-4</v>
      </c>
    </row>
    <row r="114" spans="1:7" ht="30" x14ac:dyDescent="0.25">
      <c r="A114" s="30" t="s">
        <v>65</v>
      </c>
      <c r="B114" s="25" t="s">
        <v>85</v>
      </c>
      <c r="C114" s="11" t="s">
        <v>181</v>
      </c>
      <c r="D114" s="34">
        <v>6</v>
      </c>
      <c r="E114" s="68">
        <v>3.2000000000000002E-3</v>
      </c>
      <c r="F114" s="66">
        <f>5.941/1000</f>
        <v>5.9410000000000001E-3</v>
      </c>
      <c r="G114" s="54">
        <f>E114-F114</f>
        <v>-2.7409999999999999E-3</v>
      </c>
    </row>
    <row r="115" spans="1:7" ht="45" x14ac:dyDescent="0.25">
      <c r="A115" s="30" t="s">
        <v>65</v>
      </c>
      <c r="B115" s="25" t="s">
        <v>87</v>
      </c>
      <c r="C115" s="11" t="s">
        <v>181</v>
      </c>
      <c r="D115" s="34">
        <v>7</v>
      </c>
      <c r="E115" s="72">
        <v>1.1999999999999999E-3</v>
      </c>
      <c r="F115" s="66">
        <f>1.101/1000</f>
        <v>1.101E-3</v>
      </c>
      <c r="G115" s="54">
        <f t="shared" ref="G115:G180" si="3">E115-F115</f>
        <v>9.8999999999999913E-5</v>
      </c>
    </row>
    <row r="116" spans="1:7" ht="41.25" customHeight="1" x14ac:dyDescent="0.25">
      <c r="A116" s="30" t="s">
        <v>65</v>
      </c>
      <c r="B116" s="25" t="s">
        <v>86</v>
      </c>
      <c r="C116" s="11" t="s">
        <v>181</v>
      </c>
      <c r="D116" s="34">
        <v>7</v>
      </c>
      <c r="E116" s="72">
        <v>1.1999999999999999E-3</v>
      </c>
      <c r="F116" s="66">
        <f>1.51/1000</f>
        <v>1.5100000000000001E-3</v>
      </c>
      <c r="G116" s="54">
        <f t="shared" si="3"/>
        <v>-3.1000000000000016E-4</v>
      </c>
    </row>
    <row r="117" spans="1:7" ht="27" customHeight="1" x14ac:dyDescent="0.25">
      <c r="A117" s="30" t="s">
        <v>65</v>
      </c>
      <c r="B117" s="19" t="s">
        <v>89</v>
      </c>
      <c r="C117" s="11" t="s">
        <v>158</v>
      </c>
      <c r="D117" s="34">
        <v>6</v>
      </c>
      <c r="E117" s="68">
        <v>7.1999999999999998E-3</v>
      </c>
      <c r="F117" s="69">
        <v>7.1999999999999998E-3</v>
      </c>
      <c r="G117" s="54">
        <f t="shared" si="3"/>
        <v>0</v>
      </c>
    </row>
    <row r="118" spans="1:7" ht="30" x14ac:dyDescent="0.25">
      <c r="A118" s="30" t="s">
        <v>65</v>
      </c>
      <c r="B118" s="25" t="s">
        <v>91</v>
      </c>
      <c r="C118" s="11" t="s">
        <v>181</v>
      </c>
      <c r="D118" s="34">
        <v>6</v>
      </c>
      <c r="E118" s="72">
        <v>1.15E-3</v>
      </c>
      <c r="F118" s="66">
        <f>1.161/1000</f>
        <v>1.1610000000000001E-3</v>
      </c>
      <c r="G118" s="54">
        <f t="shared" si="3"/>
        <v>-1.1000000000000159E-5</v>
      </c>
    </row>
    <row r="119" spans="1:7" ht="30" x14ac:dyDescent="0.25">
      <c r="A119" s="30" t="s">
        <v>65</v>
      </c>
      <c r="B119" s="25" t="s">
        <v>90</v>
      </c>
      <c r="C119" s="11" t="s">
        <v>181</v>
      </c>
      <c r="D119" s="34">
        <v>6</v>
      </c>
      <c r="E119" s="68">
        <v>1.6000000000000001E-3</v>
      </c>
      <c r="F119" s="66">
        <f>5.072/1000</f>
        <v>5.0720000000000001E-3</v>
      </c>
      <c r="G119" s="54">
        <f t="shared" si="3"/>
        <v>-3.4720000000000003E-3</v>
      </c>
    </row>
    <row r="120" spans="1:7" ht="45" x14ac:dyDescent="0.25">
      <c r="A120" s="30" t="s">
        <v>65</v>
      </c>
      <c r="B120" s="25" t="s">
        <v>207</v>
      </c>
      <c r="C120" s="11" t="s">
        <v>181</v>
      </c>
      <c r="D120" s="34">
        <v>6</v>
      </c>
      <c r="E120" s="66">
        <f>1.15/1000</f>
        <v>1.15E-3</v>
      </c>
      <c r="F120" s="66">
        <f>6.782/1000</f>
        <v>6.7819999999999998E-3</v>
      </c>
      <c r="G120" s="54">
        <f t="shared" si="3"/>
        <v>-5.6319999999999999E-3</v>
      </c>
    </row>
    <row r="121" spans="1:7" x14ac:dyDescent="0.25">
      <c r="A121" s="30" t="s">
        <v>65</v>
      </c>
      <c r="B121" s="19" t="s">
        <v>92</v>
      </c>
      <c r="C121" s="11" t="s">
        <v>239</v>
      </c>
      <c r="D121" s="34">
        <v>6</v>
      </c>
      <c r="E121" s="68">
        <v>4.4999999999999997E-3</v>
      </c>
      <c r="F121" s="69">
        <v>4.4999999999999997E-3</v>
      </c>
      <c r="G121" s="54">
        <f t="shared" si="3"/>
        <v>0</v>
      </c>
    </row>
    <row r="122" spans="1:7" ht="36" customHeight="1" x14ac:dyDescent="0.25">
      <c r="A122" s="30" t="s">
        <v>65</v>
      </c>
      <c r="B122" s="25" t="s">
        <v>95</v>
      </c>
      <c r="C122" s="11" t="s">
        <v>159</v>
      </c>
      <c r="D122" s="34">
        <v>7</v>
      </c>
      <c r="E122" s="66">
        <f>0.08/1000</f>
        <v>8.0000000000000007E-5</v>
      </c>
      <c r="F122" s="69">
        <v>4.8000000000000001E-4</v>
      </c>
      <c r="G122" s="54">
        <f t="shared" si="3"/>
        <v>-4.0000000000000002E-4</v>
      </c>
    </row>
    <row r="123" spans="1:7" ht="30" x14ac:dyDescent="0.25">
      <c r="A123" s="30" t="s">
        <v>65</v>
      </c>
      <c r="B123" s="25" t="s">
        <v>93</v>
      </c>
      <c r="C123" s="11" t="s">
        <v>159</v>
      </c>
      <c r="D123" s="34">
        <v>6</v>
      </c>
      <c r="E123" s="68">
        <v>3.0000000000000001E-3</v>
      </c>
      <c r="F123" s="69">
        <v>4.2199999999999998E-3</v>
      </c>
      <c r="G123" s="54">
        <f t="shared" si="3"/>
        <v>-1.2199999999999997E-3</v>
      </c>
    </row>
    <row r="124" spans="1:7" ht="30" x14ac:dyDescent="0.25">
      <c r="A124" s="30" t="s">
        <v>65</v>
      </c>
      <c r="B124" s="25" t="s">
        <v>96</v>
      </c>
      <c r="C124" s="11" t="s">
        <v>162</v>
      </c>
      <c r="D124" s="34">
        <v>7</v>
      </c>
      <c r="E124" s="68">
        <v>1.658E-3</v>
      </c>
      <c r="F124" s="69">
        <v>0</v>
      </c>
      <c r="G124" s="54">
        <f t="shared" si="3"/>
        <v>1.658E-3</v>
      </c>
    </row>
    <row r="125" spans="1:7" ht="30" x14ac:dyDescent="0.25">
      <c r="A125" s="30" t="s">
        <v>65</v>
      </c>
      <c r="B125" s="25" t="s">
        <v>94</v>
      </c>
      <c r="C125" s="12" t="s">
        <v>208</v>
      </c>
      <c r="D125" s="34">
        <v>7</v>
      </c>
      <c r="E125" s="68">
        <v>1E-3</v>
      </c>
      <c r="F125" s="69">
        <v>1E-3</v>
      </c>
      <c r="G125" s="54">
        <f t="shared" si="3"/>
        <v>0</v>
      </c>
    </row>
    <row r="126" spans="1:7" x14ac:dyDescent="0.25">
      <c r="A126" s="30" t="s">
        <v>65</v>
      </c>
      <c r="B126" s="19" t="s">
        <v>97</v>
      </c>
      <c r="C126" s="12" t="s">
        <v>160</v>
      </c>
      <c r="D126" s="34">
        <v>6</v>
      </c>
      <c r="E126" s="68">
        <v>4.0000000000000001E-3</v>
      </c>
      <c r="F126" s="69">
        <v>3.3999999999999998E-3</v>
      </c>
      <c r="G126" s="54">
        <f t="shared" si="3"/>
        <v>6.0000000000000027E-4</v>
      </c>
    </row>
    <row r="127" spans="1:7" ht="60" x14ac:dyDescent="0.25">
      <c r="A127" s="30" t="s">
        <v>65</v>
      </c>
      <c r="B127" s="25" t="s">
        <v>98</v>
      </c>
      <c r="C127" s="11" t="s">
        <v>181</v>
      </c>
      <c r="D127" s="34">
        <v>6</v>
      </c>
      <c r="E127" s="68">
        <v>7.1999999999999998E-3</v>
      </c>
      <c r="F127" s="69">
        <v>2.9849999999999998E-3</v>
      </c>
      <c r="G127" s="54">
        <f t="shared" si="3"/>
        <v>4.215E-3</v>
      </c>
    </row>
    <row r="128" spans="1:7" ht="30" x14ac:dyDescent="0.25">
      <c r="A128" s="30" t="s">
        <v>65</v>
      </c>
      <c r="B128" s="25" t="s">
        <v>99</v>
      </c>
      <c r="C128" s="11" t="s">
        <v>181</v>
      </c>
      <c r="D128" s="34">
        <v>6</v>
      </c>
      <c r="E128" s="70">
        <v>5.4999999999999997E-3</v>
      </c>
      <c r="F128" s="66">
        <f>4.676/1000</f>
        <v>4.6760000000000005E-3</v>
      </c>
      <c r="G128" s="54">
        <f t="shared" si="3"/>
        <v>8.2399999999999921E-4</v>
      </c>
    </row>
    <row r="129" spans="1:7" ht="45" x14ac:dyDescent="0.25">
      <c r="A129" s="30" t="s">
        <v>65</v>
      </c>
      <c r="B129" s="25" t="s">
        <v>228</v>
      </c>
      <c r="C129" s="11" t="s">
        <v>181</v>
      </c>
      <c r="D129" s="34">
        <v>6</v>
      </c>
      <c r="E129" s="69">
        <v>3.0000000000000001E-3</v>
      </c>
      <c r="F129" s="66">
        <f>1.592/1000</f>
        <v>1.5920000000000001E-3</v>
      </c>
      <c r="G129" s="54">
        <f t="shared" si="3"/>
        <v>1.408E-3</v>
      </c>
    </row>
    <row r="130" spans="1:7" x14ac:dyDescent="0.25">
      <c r="A130" s="30" t="s">
        <v>65</v>
      </c>
      <c r="B130" s="19" t="s">
        <v>100</v>
      </c>
      <c r="C130" s="12" t="s">
        <v>161</v>
      </c>
      <c r="D130" s="34">
        <v>6</v>
      </c>
      <c r="E130" s="72">
        <v>3.2000000000000002E-3</v>
      </c>
      <c r="F130" s="66">
        <f>4.355/1000</f>
        <v>4.3550000000000004E-3</v>
      </c>
      <c r="G130" s="54">
        <f t="shared" si="3"/>
        <v>-1.1550000000000002E-3</v>
      </c>
    </row>
    <row r="131" spans="1:7" ht="30" x14ac:dyDescent="0.25">
      <c r="A131" s="30" t="s">
        <v>65</v>
      </c>
      <c r="B131" s="25" t="s">
        <v>103</v>
      </c>
      <c r="C131" s="11" t="s">
        <v>162</v>
      </c>
      <c r="D131" s="34">
        <v>6</v>
      </c>
      <c r="E131" s="68">
        <v>1.658E-3</v>
      </c>
      <c r="F131" s="69">
        <v>0</v>
      </c>
      <c r="G131" s="54">
        <f t="shared" si="3"/>
        <v>1.658E-3</v>
      </c>
    </row>
    <row r="132" spans="1:7" ht="30" x14ac:dyDescent="0.25">
      <c r="A132" s="30" t="s">
        <v>65</v>
      </c>
      <c r="B132" s="25" t="s">
        <v>101</v>
      </c>
      <c r="C132" s="11" t="s">
        <v>162</v>
      </c>
      <c r="D132" s="34">
        <v>7</v>
      </c>
      <c r="E132" s="68">
        <v>7.7200000000000001E-4</v>
      </c>
      <c r="F132" s="66">
        <f>3.902/1000</f>
        <v>3.9020000000000001E-3</v>
      </c>
      <c r="G132" s="54">
        <f t="shared" si="3"/>
        <v>-3.13E-3</v>
      </c>
    </row>
    <row r="133" spans="1:7" ht="30" x14ac:dyDescent="0.25">
      <c r="A133" s="30" t="s">
        <v>65</v>
      </c>
      <c r="B133" s="25" t="s">
        <v>102</v>
      </c>
      <c r="C133" s="11" t="s">
        <v>162</v>
      </c>
      <c r="D133" s="34">
        <v>7</v>
      </c>
      <c r="E133" s="69">
        <v>1.054E-3</v>
      </c>
      <c r="F133" s="69">
        <v>1.0640000000000001E-3</v>
      </c>
      <c r="G133" s="56">
        <f t="shared" si="3"/>
        <v>-1.0000000000000026E-5</v>
      </c>
    </row>
    <row r="134" spans="1:7" ht="30" x14ac:dyDescent="0.25">
      <c r="A134" s="30" t="s">
        <v>65</v>
      </c>
      <c r="B134" s="25" t="s">
        <v>104</v>
      </c>
      <c r="C134" s="12" t="s">
        <v>163</v>
      </c>
      <c r="D134" s="34">
        <v>7</v>
      </c>
      <c r="E134" s="68">
        <v>4.0000000000000002E-4</v>
      </c>
      <c r="F134" s="66">
        <f>2.247/1000</f>
        <v>2.2469999999999999E-3</v>
      </c>
      <c r="G134" s="54">
        <f>E134-F134</f>
        <v>-1.8469999999999999E-3</v>
      </c>
    </row>
    <row r="135" spans="1:7" ht="45" x14ac:dyDescent="0.25">
      <c r="A135" s="30" t="s">
        <v>65</v>
      </c>
      <c r="B135" s="25" t="s">
        <v>105</v>
      </c>
      <c r="C135" s="12" t="s">
        <v>163</v>
      </c>
      <c r="D135" s="34">
        <v>7</v>
      </c>
      <c r="E135" s="68">
        <v>4.0000000000000002E-4</v>
      </c>
      <c r="F135" s="66">
        <f>0.98/1000</f>
        <v>9.7999999999999997E-4</v>
      </c>
      <c r="G135" s="54">
        <f>E135-F135</f>
        <v>-5.8E-4</v>
      </c>
    </row>
    <row r="136" spans="1:7" ht="29.25" customHeight="1" x14ac:dyDescent="0.25">
      <c r="A136" s="30" t="s">
        <v>65</v>
      </c>
      <c r="B136" s="19" t="s">
        <v>175</v>
      </c>
      <c r="C136" s="11" t="s">
        <v>181</v>
      </c>
      <c r="D136" s="34">
        <v>6</v>
      </c>
      <c r="E136" s="68">
        <v>7.0000000000000001E-3</v>
      </c>
      <c r="F136" s="66">
        <f>3.59/1000</f>
        <v>3.5899999999999999E-3</v>
      </c>
      <c r="G136" s="54">
        <f t="shared" si="3"/>
        <v>3.4100000000000003E-3</v>
      </c>
    </row>
    <row r="137" spans="1:7" ht="45" x14ac:dyDescent="0.25">
      <c r="A137" s="30" t="s">
        <v>65</v>
      </c>
      <c r="B137" s="19" t="s">
        <v>106</v>
      </c>
      <c r="C137" s="11" t="s">
        <v>181</v>
      </c>
      <c r="D137" s="34">
        <v>6</v>
      </c>
      <c r="E137" s="68">
        <v>7.0000000000000001E-3</v>
      </c>
      <c r="F137" s="66">
        <f>1.244/1000</f>
        <v>1.2440000000000001E-3</v>
      </c>
      <c r="G137" s="54">
        <f t="shared" si="3"/>
        <v>5.7559999999999998E-3</v>
      </c>
    </row>
    <row r="138" spans="1:7" ht="30" x14ac:dyDescent="0.25">
      <c r="A138" s="30" t="s">
        <v>65</v>
      </c>
      <c r="B138" s="19" t="s">
        <v>107</v>
      </c>
      <c r="C138" s="12" t="s">
        <v>242</v>
      </c>
      <c r="D138" s="34">
        <v>6</v>
      </c>
      <c r="E138" s="68">
        <v>2.5000000000000001E-3</v>
      </c>
      <c r="F138" s="66">
        <f>2.499/1000</f>
        <v>2.4989999999999999E-3</v>
      </c>
      <c r="G138" s="54">
        <f t="shared" si="3"/>
        <v>1.0000000000001327E-6</v>
      </c>
    </row>
    <row r="139" spans="1:7" ht="30" x14ac:dyDescent="0.25">
      <c r="A139" s="30" t="s">
        <v>65</v>
      </c>
      <c r="B139" s="19" t="s">
        <v>108</v>
      </c>
      <c r="C139" s="12" t="s">
        <v>208</v>
      </c>
      <c r="D139" s="34">
        <v>6</v>
      </c>
      <c r="E139" s="69">
        <v>1.5E-3</v>
      </c>
      <c r="F139" s="66">
        <f>1.299/1000</f>
        <v>1.299E-3</v>
      </c>
      <c r="G139" s="56">
        <f t="shared" si="3"/>
        <v>2.0100000000000001E-4</v>
      </c>
    </row>
    <row r="140" spans="1:7" ht="30" x14ac:dyDescent="0.25">
      <c r="A140" s="30" t="s">
        <v>65</v>
      </c>
      <c r="B140" s="19" t="s">
        <v>109</v>
      </c>
      <c r="C140" s="11" t="s">
        <v>181</v>
      </c>
      <c r="D140" s="34">
        <v>6</v>
      </c>
      <c r="E140" s="68">
        <v>2.3999999999999998E-3</v>
      </c>
      <c r="F140" s="69">
        <v>2.3999999999999998E-3</v>
      </c>
      <c r="G140" s="54">
        <f t="shared" si="3"/>
        <v>0</v>
      </c>
    </row>
    <row r="141" spans="1:7" ht="60" x14ac:dyDescent="0.25">
      <c r="A141" s="30" t="s">
        <v>65</v>
      </c>
      <c r="B141" s="51" t="s">
        <v>244</v>
      </c>
      <c r="C141" s="11" t="s">
        <v>181</v>
      </c>
      <c r="D141" s="34">
        <v>7</v>
      </c>
      <c r="E141" s="66">
        <f>1.07/1000</f>
        <v>1.07E-3</v>
      </c>
      <c r="F141" s="66">
        <f>2.511/1000</f>
        <v>2.5110000000000002E-3</v>
      </c>
      <c r="G141" s="54">
        <f t="shared" si="3"/>
        <v>-1.4410000000000002E-3</v>
      </c>
    </row>
    <row r="142" spans="1:7" ht="60" x14ac:dyDescent="0.25">
      <c r="A142" s="30" t="s">
        <v>65</v>
      </c>
      <c r="B142" s="50" t="s">
        <v>245</v>
      </c>
      <c r="C142" s="11" t="s">
        <v>181</v>
      </c>
      <c r="D142" s="34">
        <v>7</v>
      </c>
      <c r="E142" s="69">
        <v>1.07E-3</v>
      </c>
      <c r="F142" s="66">
        <f>2.407/1000</f>
        <v>2.4069999999999999E-3</v>
      </c>
      <c r="G142" s="54">
        <f t="shared" si="3"/>
        <v>-1.3369999999999999E-3</v>
      </c>
    </row>
    <row r="143" spans="1:7" ht="45" x14ac:dyDescent="0.25">
      <c r="A143" s="30" t="s">
        <v>65</v>
      </c>
      <c r="B143" s="25" t="s">
        <v>111</v>
      </c>
      <c r="C143" s="11" t="s">
        <v>181</v>
      </c>
      <c r="D143" s="34">
        <v>7</v>
      </c>
      <c r="E143" s="66">
        <f>0.9/1000</f>
        <v>8.9999999999999998E-4</v>
      </c>
      <c r="F143" s="66">
        <f>0.832/1000</f>
        <v>8.3199999999999995E-4</v>
      </c>
      <c r="G143" s="54">
        <f t="shared" si="3"/>
        <v>6.8000000000000027E-5</v>
      </c>
    </row>
    <row r="144" spans="1:7" ht="30" x14ac:dyDescent="0.25">
      <c r="A144" s="30" t="s">
        <v>65</v>
      </c>
      <c r="B144" s="25" t="s">
        <v>110</v>
      </c>
      <c r="C144" s="11" t="s">
        <v>181</v>
      </c>
      <c r="D144" s="34">
        <v>6</v>
      </c>
      <c r="E144" s="68">
        <v>1.8E-3</v>
      </c>
      <c r="F144" s="66">
        <f>1.16/1000</f>
        <v>1.16E-3</v>
      </c>
      <c r="G144" s="54">
        <f t="shared" si="3"/>
        <v>6.3999999999999994E-4</v>
      </c>
    </row>
    <row r="145" spans="1:7" x14ac:dyDescent="0.25">
      <c r="A145" s="30" t="s">
        <v>65</v>
      </c>
      <c r="B145" s="19" t="s">
        <v>112</v>
      </c>
      <c r="C145" s="12" t="s">
        <v>208</v>
      </c>
      <c r="D145" s="34">
        <v>7</v>
      </c>
      <c r="E145" s="66">
        <f>1.1/1000</f>
        <v>1.1000000000000001E-3</v>
      </c>
      <c r="F145" s="66">
        <f>1.1/1000</f>
        <v>1.1000000000000001E-3</v>
      </c>
      <c r="G145" s="54">
        <f t="shared" si="3"/>
        <v>0</v>
      </c>
    </row>
    <row r="146" spans="1:7" x14ac:dyDescent="0.25">
      <c r="A146" s="30" t="s">
        <v>65</v>
      </c>
      <c r="B146" s="19" t="s">
        <v>113</v>
      </c>
      <c r="C146" s="12" t="s">
        <v>164</v>
      </c>
      <c r="D146" s="34">
        <v>7</v>
      </c>
      <c r="E146" s="66">
        <f>1.1/1000</f>
        <v>1.1000000000000001E-3</v>
      </c>
      <c r="F146" s="66">
        <f>1.27/1000</f>
        <v>1.2700000000000001E-3</v>
      </c>
      <c r="G146" s="54">
        <f t="shared" si="3"/>
        <v>-1.7000000000000001E-4</v>
      </c>
    </row>
    <row r="147" spans="1:7" ht="29.25" customHeight="1" x14ac:dyDescent="0.25">
      <c r="A147" s="30" t="s">
        <v>65</v>
      </c>
      <c r="B147" s="19" t="s">
        <v>114</v>
      </c>
      <c r="C147" s="11" t="s">
        <v>181</v>
      </c>
      <c r="D147" s="34">
        <v>7</v>
      </c>
      <c r="E147" s="68">
        <v>7.5000000000000002E-4</v>
      </c>
      <c r="F147" s="68">
        <v>7.5000000000000002E-4</v>
      </c>
      <c r="G147" s="54">
        <f t="shared" si="3"/>
        <v>0</v>
      </c>
    </row>
    <row r="148" spans="1:7" x14ac:dyDescent="0.25">
      <c r="A148" s="30" t="s">
        <v>65</v>
      </c>
      <c r="B148" s="19" t="s">
        <v>115</v>
      </c>
      <c r="C148" s="12" t="s">
        <v>165</v>
      </c>
      <c r="D148" s="34">
        <v>7</v>
      </c>
      <c r="E148" s="68">
        <v>1.1999999999999999E-3</v>
      </c>
      <c r="F148" s="66">
        <f>0.985/1000</f>
        <v>9.8499999999999998E-4</v>
      </c>
      <c r="G148" s="54">
        <f t="shared" si="3"/>
        <v>2.1499999999999991E-4</v>
      </c>
    </row>
    <row r="149" spans="1:7" ht="30" x14ac:dyDescent="0.25">
      <c r="A149" s="30" t="s">
        <v>65</v>
      </c>
      <c r="B149" s="19" t="s">
        <v>92</v>
      </c>
      <c r="C149" s="11" t="s">
        <v>181</v>
      </c>
      <c r="D149" s="34">
        <v>7</v>
      </c>
      <c r="E149" s="68">
        <v>4.4999999999999999E-4</v>
      </c>
      <c r="F149" s="69">
        <v>4.4999999999999999E-4</v>
      </c>
      <c r="G149" s="54">
        <f t="shared" si="3"/>
        <v>0</v>
      </c>
    </row>
    <row r="150" spans="1:7" ht="30" x14ac:dyDescent="0.25">
      <c r="A150" s="30" t="s">
        <v>65</v>
      </c>
      <c r="B150" s="19" t="s">
        <v>116</v>
      </c>
      <c r="C150" s="12" t="s">
        <v>208</v>
      </c>
      <c r="D150" s="34">
        <v>7</v>
      </c>
      <c r="E150" s="69">
        <v>8.9999999999999998E-4</v>
      </c>
      <c r="F150" s="69">
        <v>8.9999999999999998E-4</v>
      </c>
      <c r="G150" s="56">
        <f t="shared" si="3"/>
        <v>0</v>
      </c>
    </row>
    <row r="151" spans="1:7" ht="45" x14ac:dyDescent="0.25">
      <c r="A151" s="30" t="s">
        <v>65</v>
      </c>
      <c r="B151" s="19" t="s">
        <v>117</v>
      </c>
      <c r="C151" s="12" t="s">
        <v>149</v>
      </c>
      <c r="D151" s="34">
        <v>7</v>
      </c>
      <c r="E151" s="68">
        <v>4.86E-4</v>
      </c>
      <c r="F151" s="69">
        <v>0</v>
      </c>
      <c r="G151" s="54">
        <f t="shared" si="3"/>
        <v>4.86E-4</v>
      </c>
    </row>
    <row r="152" spans="1:7" ht="45" x14ac:dyDescent="0.25">
      <c r="A152" s="30" t="s">
        <v>65</v>
      </c>
      <c r="B152" s="25" t="s">
        <v>209</v>
      </c>
      <c r="C152" s="25" t="s">
        <v>210</v>
      </c>
      <c r="D152" s="34">
        <v>7</v>
      </c>
      <c r="E152" s="66">
        <f>1/1000</f>
        <v>1E-3</v>
      </c>
      <c r="F152" s="66">
        <f>0.461/1000</f>
        <v>4.6100000000000004E-4</v>
      </c>
      <c r="G152" s="54">
        <f t="shared" si="3"/>
        <v>5.3899999999999998E-4</v>
      </c>
    </row>
    <row r="153" spans="1:7" ht="30" x14ac:dyDescent="0.25">
      <c r="A153" s="30" t="s">
        <v>65</v>
      </c>
      <c r="B153" s="25" t="s">
        <v>211</v>
      </c>
      <c r="C153" s="25" t="s">
        <v>212</v>
      </c>
      <c r="D153" s="34">
        <v>7</v>
      </c>
      <c r="E153" s="68">
        <v>0</v>
      </c>
      <c r="F153" s="69">
        <v>0</v>
      </c>
      <c r="G153" s="54">
        <f t="shared" si="3"/>
        <v>0</v>
      </c>
    </row>
    <row r="154" spans="1:7" x14ac:dyDescent="0.25">
      <c r="A154" s="30" t="s">
        <v>65</v>
      </c>
      <c r="B154" s="25" t="s">
        <v>213</v>
      </c>
      <c r="C154" s="25" t="s">
        <v>214</v>
      </c>
      <c r="D154" s="34">
        <v>6</v>
      </c>
      <c r="E154" s="68">
        <v>8.9999999999999993E-3</v>
      </c>
      <c r="F154" s="68">
        <v>8.9999999999999993E-3</v>
      </c>
      <c r="G154" s="54">
        <f t="shared" si="3"/>
        <v>0</v>
      </c>
    </row>
    <row r="155" spans="1:7" ht="60" x14ac:dyDescent="0.25">
      <c r="A155" s="30" t="s">
        <v>65</v>
      </c>
      <c r="B155" s="25" t="s">
        <v>215</v>
      </c>
      <c r="C155" s="25" t="s">
        <v>216</v>
      </c>
      <c r="D155" s="34">
        <v>6</v>
      </c>
      <c r="E155" s="66">
        <f>6/1000</f>
        <v>6.0000000000000001E-3</v>
      </c>
      <c r="F155" s="66">
        <f>4.668/1000</f>
        <v>4.6680000000000003E-3</v>
      </c>
      <c r="G155" s="54">
        <f t="shared" si="3"/>
        <v>1.3319999999999999E-3</v>
      </c>
    </row>
    <row r="156" spans="1:7" x14ac:dyDescent="0.25">
      <c r="A156" s="30" t="s">
        <v>65</v>
      </c>
      <c r="B156" s="25" t="s">
        <v>217</v>
      </c>
      <c r="C156" s="25" t="s">
        <v>218</v>
      </c>
      <c r="D156" s="34">
        <v>4</v>
      </c>
      <c r="E156" s="68">
        <v>1.1000000000000001</v>
      </c>
      <c r="F156" s="66">
        <f>1250.944/1000</f>
        <v>1.2509440000000001</v>
      </c>
      <c r="G156" s="54">
        <f>E156-F156</f>
        <v>-0.15094399999999997</v>
      </c>
    </row>
    <row r="157" spans="1:7" ht="45" x14ac:dyDescent="0.25">
      <c r="A157" s="30" t="s">
        <v>65</v>
      </c>
      <c r="B157" s="25" t="s">
        <v>219</v>
      </c>
      <c r="C157" s="25" t="s">
        <v>220</v>
      </c>
      <c r="D157" s="34">
        <v>6</v>
      </c>
      <c r="E157" s="68">
        <v>5.0000000000000001E-3</v>
      </c>
      <c r="F157" s="69">
        <v>0</v>
      </c>
      <c r="G157" s="54">
        <f t="shared" si="3"/>
        <v>5.0000000000000001E-3</v>
      </c>
    </row>
    <row r="158" spans="1:7" ht="45" x14ac:dyDescent="0.25">
      <c r="A158" s="30" t="s">
        <v>65</v>
      </c>
      <c r="B158" s="25" t="s">
        <v>119</v>
      </c>
      <c r="C158" s="25" t="s">
        <v>167</v>
      </c>
      <c r="D158" s="34">
        <v>7</v>
      </c>
      <c r="E158" s="68">
        <v>2.1999999999999999E-5</v>
      </c>
      <c r="F158" s="66">
        <f>0.009/1000</f>
        <v>8.9999999999999985E-6</v>
      </c>
      <c r="G158" s="54">
        <f t="shared" si="3"/>
        <v>1.3000000000000001E-5</v>
      </c>
    </row>
    <row r="159" spans="1:7" ht="45" x14ac:dyDescent="0.25">
      <c r="A159" s="32" t="s">
        <v>65</v>
      </c>
      <c r="B159" s="39" t="s">
        <v>118</v>
      </c>
      <c r="C159" s="39" t="s">
        <v>166</v>
      </c>
      <c r="D159" s="35">
        <v>7</v>
      </c>
      <c r="E159" s="70">
        <v>2.1999999999999999E-5</v>
      </c>
      <c r="F159" s="75">
        <v>2.1999999999999999E-5</v>
      </c>
      <c r="G159" s="57">
        <f t="shared" si="3"/>
        <v>0</v>
      </c>
    </row>
    <row r="160" spans="1:7" ht="90" x14ac:dyDescent="0.25">
      <c r="A160" s="17" t="s">
        <v>65</v>
      </c>
      <c r="B160" s="40" t="s">
        <v>120</v>
      </c>
      <c r="C160" s="12" t="s">
        <v>168</v>
      </c>
      <c r="D160" s="41">
        <v>6</v>
      </c>
      <c r="E160" s="69">
        <v>1.8450000000000001E-3</v>
      </c>
      <c r="F160" s="69">
        <v>0</v>
      </c>
      <c r="G160" s="56">
        <f t="shared" si="3"/>
        <v>1.8450000000000001E-3</v>
      </c>
    </row>
    <row r="161" spans="1:7" ht="60" x14ac:dyDescent="0.25">
      <c r="A161" s="17" t="s">
        <v>65</v>
      </c>
      <c r="B161" s="40" t="s">
        <v>237</v>
      </c>
      <c r="C161" s="12" t="s">
        <v>236</v>
      </c>
      <c r="D161" s="41">
        <v>7</v>
      </c>
      <c r="E161" s="69">
        <v>2E-3</v>
      </c>
      <c r="F161" s="69">
        <v>2E-3</v>
      </c>
      <c r="G161" s="56">
        <f t="shared" si="3"/>
        <v>0</v>
      </c>
    </row>
    <row r="162" spans="1:7" ht="60" x14ac:dyDescent="0.25">
      <c r="A162" s="18" t="s">
        <v>121</v>
      </c>
      <c r="B162" s="10" t="s">
        <v>122</v>
      </c>
      <c r="C162" s="11" t="s">
        <v>169</v>
      </c>
      <c r="D162" s="33">
        <v>3</v>
      </c>
      <c r="E162" s="69">
        <v>1E-3</v>
      </c>
      <c r="F162" s="69">
        <v>1E-3</v>
      </c>
      <c r="G162" s="54">
        <f t="shared" si="3"/>
        <v>0</v>
      </c>
    </row>
    <row r="163" spans="1:7" ht="30.6" customHeight="1" x14ac:dyDescent="0.25">
      <c r="A163" s="31" t="s">
        <v>123</v>
      </c>
      <c r="B163" s="25" t="s">
        <v>124</v>
      </c>
      <c r="C163" s="29" t="s">
        <v>170</v>
      </c>
      <c r="D163" s="34">
        <v>4</v>
      </c>
      <c r="E163" s="69">
        <v>0.39</v>
      </c>
      <c r="F163" s="66">
        <f>383.35/1000</f>
        <v>0.38335000000000002</v>
      </c>
      <c r="G163" s="54">
        <f t="shared" si="3"/>
        <v>6.6499999999999893E-3</v>
      </c>
    </row>
    <row r="164" spans="1:7" ht="45" x14ac:dyDescent="0.25">
      <c r="A164" s="31" t="s">
        <v>123</v>
      </c>
      <c r="B164" s="25" t="s">
        <v>126</v>
      </c>
      <c r="C164" s="29" t="s">
        <v>170</v>
      </c>
      <c r="D164" s="34">
        <v>4</v>
      </c>
      <c r="E164" s="69">
        <v>0.21</v>
      </c>
      <c r="F164" s="69">
        <v>0.16056500000000001</v>
      </c>
      <c r="G164" s="54">
        <f t="shared" si="3"/>
        <v>4.9434999999999979E-2</v>
      </c>
    </row>
    <row r="165" spans="1:7" ht="45" x14ac:dyDescent="0.25">
      <c r="A165" s="31" t="s">
        <v>123</v>
      </c>
      <c r="B165" s="25" t="s">
        <v>125</v>
      </c>
      <c r="C165" s="29" t="s">
        <v>170</v>
      </c>
      <c r="D165" s="34">
        <v>4</v>
      </c>
      <c r="E165" s="69">
        <v>0.22</v>
      </c>
      <c r="F165" s="69">
        <v>0.166546</v>
      </c>
      <c r="G165" s="54">
        <f t="shared" si="3"/>
        <v>5.3454000000000002E-2</v>
      </c>
    </row>
    <row r="166" spans="1:7" ht="30" x14ac:dyDescent="0.25">
      <c r="A166" s="31" t="s">
        <v>123</v>
      </c>
      <c r="B166" s="25" t="s">
        <v>127</v>
      </c>
      <c r="C166" s="25" t="s">
        <v>177</v>
      </c>
      <c r="D166" s="34">
        <v>4</v>
      </c>
      <c r="E166" s="69">
        <v>0.26</v>
      </c>
      <c r="F166" s="69">
        <v>0.35105500000000001</v>
      </c>
      <c r="G166" s="54">
        <f t="shared" si="3"/>
        <v>-9.1054999999999997E-2</v>
      </c>
    </row>
    <row r="167" spans="1:7" ht="30" x14ac:dyDescent="0.25">
      <c r="A167" s="31" t="s">
        <v>123</v>
      </c>
      <c r="B167" s="25" t="s">
        <v>127</v>
      </c>
      <c r="C167" s="25" t="s">
        <v>177</v>
      </c>
      <c r="D167" s="34">
        <v>4</v>
      </c>
      <c r="E167" s="69">
        <v>0.13841999999999999</v>
      </c>
      <c r="F167" s="69">
        <v>0.15224699999999999</v>
      </c>
      <c r="G167" s="54">
        <f>E167-F167</f>
        <v>-1.3827000000000006E-2</v>
      </c>
    </row>
    <row r="168" spans="1:7" x14ac:dyDescent="0.25">
      <c r="A168" s="31" t="s">
        <v>123</v>
      </c>
      <c r="B168" s="48" t="s">
        <v>128</v>
      </c>
      <c r="C168" s="12" t="s">
        <v>171</v>
      </c>
      <c r="D168" s="34">
        <v>5</v>
      </c>
      <c r="E168" s="69">
        <v>0.05</v>
      </c>
      <c r="F168" s="66">
        <f>35.749/1000</f>
        <v>3.5749000000000003E-2</v>
      </c>
      <c r="G168" s="54">
        <f t="shared" si="3"/>
        <v>1.4251E-2</v>
      </c>
    </row>
    <row r="169" spans="1:7" x14ac:dyDescent="0.25">
      <c r="A169" s="31" t="s">
        <v>123</v>
      </c>
      <c r="B169" s="25" t="s">
        <v>221</v>
      </c>
      <c r="C169" s="25" t="s">
        <v>172</v>
      </c>
      <c r="D169" s="34">
        <v>5</v>
      </c>
      <c r="E169" s="76">
        <v>0</v>
      </c>
      <c r="F169" s="76">
        <v>0</v>
      </c>
      <c r="G169" s="54">
        <f t="shared" si="3"/>
        <v>0</v>
      </c>
    </row>
    <row r="170" spans="1:7" x14ac:dyDescent="0.25">
      <c r="A170" s="31" t="s">
        <v>123</v>
      </c>
      <c r="B170" s="19" t="s">
        <v>129</v>
      </c>
      <c r="C170" s="12" t="s">
        <v>172</v>
      </c>
      <c r="D170" s="34">
        <v>5</v>
      </c>
      <c r="E170" s="69">
        <v>3.5000000000000003E-2</v>
      </c>
      <c r="F170" s="66">
        <f>31.544/1000</f>
        <v>3.1544000000000003E-2</v>
      </c>
      <c r="G170" s="54">
        <f t="shared" si="3"/>
        <v>3.4560000000000007E-3</v>
      </c>
    </row>
    <row r="171" spans="1:7" ht="30" x14ac:dyDescent="0.25">
      <c r="A171" s="31" t="s">
        <v>123</v>
      </c>
      <c r="B171" s="19" t="s">
        <v>130</v>
      </c>
      <c r="C171" s="12" t="s">
        <v>173</v>
      </c>
      <c r="D171" s="22">
        <v>4</v>
      </c>
      <c r="E171" s="69">
        <v>0</v>
      </c>
      <c r="F171" s="69">
        <v>0</v>
      </c>
      <c r="G171" s="54">
        <f t="shared" si="3"/>
        <v>0</v>
      </c>
    </row>
    <row r="172" spans="1:7" x14ac:dyDescent="0.25">
      <c r="A172" s="31" t="s">
        <v>123</v>
      </c>
      <c r="B172" s="19" t="s">
        <v>131</v>
      </c>
      <c r="C172" s="12" t="s">
        <v>174</v>
      </c>
      <c r="D172" s="34">
        <v>5</v>
      </c>
      <c r="E172" s="66">
        <f>31.047/1000</f>
        <v>3.1047000000000002E-2</v>
      </c>
      <c r="F172" s="66">
        <f>27.295/1000</f>
        <v>2.7295000000000003E-2</v>
      </c>
      <c r="G172" s="54">
        <f t="shared" si="3"/>
        <v>3.7519999999999984E-3</v>
      </c>
    </row>
    <row r="173" spans="1:7" ht="30" x14ac:dyDescent="0.25">
      <c r="A173" s="31" t="s">
        <v>123</v>
      </c>
      <c r="B173" s="19" t="s">
        <v>132</v>
      </c>
      <c r="C173" s="11" t="s">
        <v>181</v>
      </c>
      <c r="D173" s="34">
        <v>5</v>
      </c>
      <c r="E173" s="69">
        <v>1.0999999999999999E-2</v>
      </c>
      <c r="F173" s="66">
        <f>20.088/1000</f>
        <v>2.0088000000000002E-2</v>
      </c>
      <c r="G173" s="54">
        <f t="shared" si="3"/>
        <v>-9.0880000000000023E-3</v>
      </c>
    </row>
    <row r="174" spans="1:7" ht="45" x14ac:dyDescent="0.25">
      <c r="A174" s="31" t="s">
        <v>123</v>
      </c>
      <c r="B174" s="19" t="s">
        <v>222</v>
      </c>
      <c r="C174" s="20" t="s">
        <v>141</v>
      </c>
      <c r="D174" s="22">
        <v>4</v>
      </c>
      <c r="E174" s="69">
        <v>3.6640000000000002E-3</v>
      </c>
      <c r="F174" s="69">
        <v>3.6640000000000002E-3</v>
      </c>
      <c r="G174" s="54">
        <f t="shared" si="3"/>
        <v>0</v>
      </c>
    </row>
    <row r="175" spans="1:7" ht="45" x14ac:dyDescent="0.25">
      <c r="A175" s="31" t="s">
        <v>123</v>
      </c>
      <c r="B175" s="19" t="s">
        <v>223</v>
      </c>
      <c r="C175" s="20" t="s">
        <v>141</v>
      </c>
      <c r="D175" s="22">
        <v>4</v>
      </c>
      <c r="E175" s="69">
        <v>6.5700000000000003E-4</v>
      </c>
      <c r="F175" s="69">
        <v>6.5700000000000003E-4</v>
      </c>
      <c r="G175" s="54">
        <f t="shared" si="3"/>
        <v>0</v>
      </c>
    </row>
    <row r="176" spans="1:7" ht="45" x14ac:dyDescent="0.25">
      <c r="A176" s="31" t="s">
        <v>123</v>
      </c>
      <c r="B176" s="19" t="s">
        <v>133</v>
      </c>
      <c r="C176" s="12" t="s">
        <v>176</v>
      </c>
      <c r="D176" s="34">
        <v>6</v>
      </c>
      <c r="E176" s="69">
        <v>2E-3</v>
      </c>
      <c r="F176" s="69">
        <v>0</v>
      </c>
      <c r="G176" s="54">
        <f t="shared" si="3"/>
        <v>2E-3</v>
      </c>
    </row>
    <row r="177" spans="1:7" ht="45" x14ac:dyDescent="0.25">
      <c r="A177" s="11" t="s">
        <v>134</v>
      </c>
      <c r="B177" s="19" t="s">
        <v>135</v>
      </c>
      <c r="C177" s="11" t="s">
        <v>170</v>
      </c>
      <c r="D177" s="34">
        <v>4</v>
      </c>
      <c r="E177" s="69">
        <v>0.21</v>
      </c>
      <c r="F177" s="69">
        <v>0.158914</v>
      </c>
      <c r="G177" s="54">
        <f t="shared" si="3"/>
        <v>5.1085999999999993E-2</v>
      </c>
    </row>
    <row r="178" spans="1:7" ht="60" x14ac:dyDescent="0.25">
      <c r="A178" s="11" t="s">
        <v>134</v>
      </c>
      <c r="B178" s="19" t="s">
        <v>136</v>
      </c>
      <c r="C178" s="11" t="s">
        <v>141</v>
      </c>
      <c r="D178" s="22">
        <v>4</v>
      </c>
      <c r="E178" s="69">
        <v>1.4660000000000001E-3</v>
      </c>
      <c r="F178" s="69">
        <v>1.4660000000000001E-3</v>
      </c>
      <c r="G178" s="54">
        <f t="shared" si="3"/>
        <v>0</v>
      </c>
    </row>
    <row r="179" spans="1:7" ht="60" x14ac:dyDescent="0.25">
      <c r="A179" s="11" t="s">
        <v>134</v>
      </c>
      <c r="B179" s="19" t="s">
        <v>224</v>
      </c>
      <c r="C179" s="11" t="s">
        <v>141</v>
      </c>
      <c r="D179" s="22">
        <v>4</v>
      </c>
      <c r="E179" s="69">
        <v>2.5700000000000001E-4</v>
      </c>
      <c r="F179" s="69">
        <v>2.5700000000000001E-4</v>
      </c>
      <c r="G179" s="54">
        <f>E179-F179</f>
        <v>0</v>
      </c>
    </row>
    <row r="180" spans="1:7" ht="30.75" thickBot="1" x14ac:dyDescent="0.3">
      <c r="A180" s="36" t="s">
        <v>137</v>
      </c>
      <c r="B180" s="19" t="s">
        <v>138</v>
      </c>
      <c r="C180" s="11" t="s">
        <v>155</v>
      </c>
      <c r="D180" s="22">
        <v>4</v>
      </c>
      <c r="E180" s="71">
        <v>0</v>
      </c>
      <c r="F180" s="52">
        <f>126.198/1000</f>
        <v>0.126198</v>
      </c>
      <c r="G180" s="54">
        <f t="shared" si="3"/>
        <v>-0.126198</v>
      </c>
    </row>
    <row r="181" spans="1:7" ht="15.75" thickBot="1" x14ac:dyDescent="0.3">
      <c r="A181" s="6" t="s">
        <v>6</v>
      </c>
      <c r="B181" s="8"/>
      <c r="C181" s="9"/>
      <c r="D181" s="7"/>
      <c r="E181" s="61">
        <f>SUM(E22:E180)</f>
        <v>18.059002000000014</v>
      </c>
      <c r="F181" s="61">
        <f>SUM(F22:F180)</f>
        <v>18.059958999999999</v>
      </c>
      <c r="G181" s="58">
        <f>SUM(G22:G180)</f>
        <v>-9.5699999999995788E-4</v>
      </c>
    </row>
    <row r="182" spans="1:7" x14ac:dyDescent="0.25">
      <c r="A182" s="3"/>
    </row>
    <row r="183" spans="1:7" x14ac:dyDescent="0.25">
      <c r="A183" s="4"/>
    </row>
    <row r="184" spans="1:7" ht="75.75" customHeight="1" x14ac:dyDescent="0.25">
      <c r="A184" s="5"/>
    </row>
    <row r="185" spans="1:7" ht="94.5" customHeight="1" x14ac:dyDescent="0.25"/>
    <row r="186" spans="1:7" ht="113.25" customHeight="1" x14ac:dyDescent="0.25"/>
    <row r="187" spans="1:7" ht="75.75" customHeight="1" x14ac:dyDescent="0.25"/>
    <row r="188" spans="1:7" ht="94.5" customHeight="1" x14ac:dyDescent="0.25"/>
    <row r="189" spans="1:7" ht="75.75" customHeight="1" x14ac:dyDescent="0.25"/>
    <row r="190" spans="1:7" ht="94.5" customHeight="1" x14ac:dyDescent="0.25"/>
    <row r="191" spans="1:7" ht="94.5" customHeight="1" x14ac:dyDescent="0.25"/>
    <row r="192" spans="1:7" ht="113.25" customHeight="1" x14ac:dyDescent="0.25"/>
  </sheetData>
  <autoFilter ref="A21:G181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2022-01-11T04:15:04Z</dcterms:modified>
  <cp:contentStatus/>
</cp:coreProperties>
</file>