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0395" windowHeight="11025"/>
  </bookViews>
  <sheets>
    <sheet name="Лист1" sheetId="1" r:id="rId1"/>
  </sheets>
  <definedNames>
    <definedName name="_xlnm._FilterDatabase" localSheetId="0" hidden="1">Лист1!$A$21:$G$180</definedName>
    <definedName name="_xlnm.Print_Area" localSheetId="0">Лист1!$A$1:$K$187</definedName>
  </definedNames>
  <calcPr calcId="162913"/>
</workbook>
</file>

<file path=xl/calcChain.xml><?xml version="1.0" encoding="utf-8"?>
<calcChain xmlns="http://schemas.openxmlformats.org/spreadsheetml/2006/main">
  <c r="F179" i="1" l="1"/>
  <c r="F178" i="1"/>
  <c r="E178" i="1"/>
  <c r="F172" i="1"/>
  <c r="E172" i="1"/>
  <c r="F171" i="1"/>
  <c r="F169" i="1"/>
  <c r="G169" i="1"/>
  <c r="F167" i="1"/>
  <c r="G167" i="1"/>
  <c r="F163" i="1"/>
  <c r="G163" i="1"/>
  <c r="F66" i="1"/>
  <c r="G66" i="1"/>
  <c r="F65" i="1"/>
  <c r="G65" i="1"/>
  <c r="F64" i="1"/>
  <c r="E64" i="1"/>
  <c r="F60" i="1"/>
  <c r="E60" i="1"/>
  <c r="G60" i="1"/>
  <c r="F61" i="1"/>
  <c r="E61" i="1"/>
  <c r="F82" i="1"/>
  <c r="F86" i="1"/>
  <c r="F87" i="1"/>
  <c r="F74" i="1"/>
  <c r="F158" i="1"/>
  <c r="F156" i="1"/>
  <c r="G156" i="1"/>
  <c r="E156" i="1"/>
  <c r="F155" i="1"/>
  <c r="F152" i="1"/>
  <c r="G152" i="1"/>
  <c r="F148" i="1"/>
  <c r="G148" i="1"/>
  <c r="F146" i="1"/>
  <c r="G146" i="1"/>
  <c r="E146" i="1"/>
  <c r="F145" i="1"/>
  <c r="E145" i="1"/>
  <c r="G145" i="1"/>
  <c r="F144" i="1"/>
  <c r="G144" i="1"/>
  <c r="F143" i="1"/>
  <c r="F142" i="1"/>
  <c r="G142" i="1"/>
  <c r="F141" i="1"/>
  <c r="E141" i="1"/>
  <c r="F139" i="1"/>
  <c r="G139" i="1"/>
  <c r="F138" i="1"/>
  <c r="G138" i="1"/>
  <c r="F137" i="1"/>
  <c r="G137" i="1"/>
  <c r="F136" i="1"/>
  <c r="G136" i="1"/>
  <c r="F135" i="1"/>
  <c r="F134" i="1"/>
  <c r="G134" i="1"/>
  <c r="F132" i="1"/>
  <c r="G132" i="1"/>
  <c r="F130" i="1"/>
  <c r="G130" i="1"/>
  <c r="F129" i="1"/>
  <c r="G129" i="1"/>
  <c r="F128" i="1"/>
  <c r="G128" i="1"/>
  <c r="F120" i="1"/>
  <c r="F119" i="1"/>
  <c r="G119" i="1"/>
  <c r="F118" i="1"/>
  <c r="G118" i="1"/>
  <c r="F116" i="1"/>
  <c r="G116" i="1"/>
  <c r="F115" i="1"/>
  <c r="G115" i="1"/>
  <c r="F114" i="1"/>
  <c r="F113" i="1"/>
  <c r="F108" i="1"/>
  <c r="G108" i="1"/>
  <c r="F107" i="1"/>
  <c r="G107" i="1"/>
  <c r="F106" i="1"/>
  <c r="G106" i="1"/>
  <c r="F105" i="1"/>
  <c r="G105" i="1"/>
  <c r="F104" i="1"/>
  <c r="G104" i="1"/>
  <c r="F103" i="1"/>
  <c r="G103" i="1"/>
  <c r="F102" i="1"/>
  <c r="G102" i="1"/>
  <c r="F100" i="1"/>
  <c r="F99" i="1"/>
  <c r="G99" i="1"/>
  <c r="F98" i="1"/>
  <c r="G98" i="1"/>
  <c r="F97" i="1"/>
  <c r="E97" i="1"/>
  <c r="G97" i="1"/>
  <c r="F96" i="1"/>
  <c r="E96" i="1"/>
  <c r="G96" i="1"/>
  <c r="F95" i="1"/>
  <c r="E95" i="1"/>
  <c r="G95" i="1"/>
  <c r="F94" i="1"/>
  <c r="E94" i="1"/>
  <c r="G94" i="1"/>
  <c r="F93" i="1"/>
  <c r="E93" i="1"/>
  <c r="G93" i="1"/>
  <c r="F92" i="1"/>
  <c r="E92" i="1"/>
  <c r="G92" i="1"/>
  <c r="F91" i="1"/>
  <c r="E91" i="1"/>
  <c r="F90" i="1"/>
  <c r="E90" i="1"/>
  <c r="G90" i="1"/>
  <c r="F76" i="1"/>
  <c r="G76" i="1"/>
  <c r="E76" i="1"/>
  <c r="F75" i="1"/>
  <c r="E75" i="1"/>
  <c r="G75" i="1"/>
  <c r="F67" i="1"/>
  <c r="F68" i="1"/>
  <c r="G68" i="1"/>
  <c r="F70" i="1"/>
  <c r="G70" i="1"/>
  <c r="F59" i="1"/>
  <c r="G59" i="1"/>
  <c r="F54" i="1"/>
  <c r="E54" i="1"/>
  <c r="G54" i="1"/>
  <c r="F50" i="1"/>
  <c r="F49" i="1"/>
  <c r="G49" i="1"/>
  <c r="F47" i="1"/>
  <c r="E47" i="1"/>
  <c r="F46" i="1"/>
  <c r="G46" i="1"/>
  <c r="F45" i="1"/>
  <c r="G45" i="1"/>
  <c r="F44" i="1"/>
  <c r="E44" i="1"/>
  <c r="G44" i="1"/>
  <c r="F43" i="1"/>
  <c r="E43" i="1"/>
  <c r="F40" i="1"/>
  <c r="F39" i="1"/>
  <c r="E39" i="1"/>
  <c r="F38" i="1"/>
  <c r="E38" i="1"/>
  <c r="F37" i="1"/>
  <c r="E37" i="1"/>
  <c r="G37" i="1"/>
  <c r="F36" i="1"/>
  <c r="E36" i="1"/>
  <c r="F32" i="1"/>
  <c r="F31" i="1"/>
  <c r="E31" i="1"/>
  <c r="F34" i="1"/>
  <c r="E34" i="1"/>
  <c r="F28" i="1"/>
  <c r="G28" i="1"/>
  <c r="F27" i="1"/>
  <c r="G27" i="1"/>
  <c r="E27" i="1"/>
  <c r="F25" i="1"/>
  <c r="E25" i="1"/>
  <c r="G25" i="1"/>
  <c r="E24" i="1"/>
  <c r="G24" i="1"/>
  <c r="F22" i="1"/>
  <c r="E22" i="1"/>
  <c r="F89" i="1"/>
  <c r="F88" i="1"/>
  <c r="F84" i="1"/>
  <c r="F85" i="1"/>
  <c r="E171" i="1"/>
  <c r="E155" i="1"/>
  <c r="E152" i="1"/>
  <c r="E143" i="1"/>
  <c r="E122" i="1"/>
  <c r="G122" i="1"/>
  <c r="E120" i="1"/>
  <c r="E70" i="1"/>
  <c r="E59" i="1"/>
  <c r="E56" i="1"/>
  <c r="G56" i="1"/>
  <c r="E50" i="1"/>
  <c r="G50" i="1"/>
  <c r="E32" i="1"/>
  <c r="E28" i="1"/>
  <c r="G86" i="1"/>
  <c r="G87" i="1"/>
  <c r="G85" i="1"/>
  <c r="G89" i="1"/>
  <c r="G82" i="1"/>
  <c r="G74" i="1"/>
  <c r="G133" i="1"/>
  <c r="G161" i="1"/>
  <c r="G114" i="1"/>
  <c r="G117" i="1"/>
  <c r="G121" i="1"/>
  <c r="G123" i="1"/>
  <c r="G124" i="1"/>
  <c r="G125" i="1"/>
  <c r="G126" i="1"/>
  <c r="G127" i="1"/>
  <c r="G131" i="1"/>
  <c r="G135" i="1"/>
  <c r="G140" i="1"/>
  <c r="G147" i="1"/>
  <c r="G149" i="1"/>
  <c r="G150" i="1"/>
  <c r="G151" i="1"/>
  <c r="G153" i="1"/>
  <c r="G154" i="1"/>
  <c r="G155" i="1"/>
  <c r="G157" i="1"/>
  <c r="G158" i="1"/>
  <c r="G159" i="1"/>
  <c r="G160" i="1"/>
  <c r="G162" i="1"/>
  <c r="G164" i="1"/>
  <c r="G165" i="1"/>
  <c r="G166" i="1"/>
  <c r="G168" i="1"/>
  <c r="G170" i="1"/>
  <c r="G171" i="1"/>
  <c r="G172" i="1"/>
  <c r="G173" i="1"/>
  <c r="G174" i="1"/>
  <c r="G175" i="1"/>
  <c r="G176" i="1"/>
  <c r="G177" i="1"/>
  <c r="G178" i="1"/>
  <c r="G179" i="1"/>
  <c r="G100" i="1"/>
  <c r="G101" i="1"/>
  <c r="G109" i="1"/>
  <c r="G110" i="1"/>
  <c r="G111" i="1"/>
  <c r="G112" i="1"/>
  <c r="G113" i="1"/>
  <c r="G88" i="1"/>
  <c r="G91" i="1"/>
  <c r="G63" i="1"/>
  <c r="G67" i="1"/>
  <c r="G69" i="1"/>
  <c r="G71" i="1"/>
  <c r="G72" i="1"/>
  <c r="G73" i="1"/>
  <c r="G77" i="1"/>
  <c r="G78" i="1"/>
  <c r="G79" i="1"/>
  <c r="G80" i="1"/>
  <c r="G81" i="1"/>
  <c r="G83" i="1"/>
  <c r="G47" i="1"/>
  <c r="G48" i="1"/>
  <c r="G51" i="1"/>
  <c r="G52" i="1"/>
  <c r="G53" i="1"/>
  <c r="G55" i="1"/>
  <c r="G57" i="1"/>
  <c r="G58" i="1"/>
  <c r="G61" i="1"/>
  <c r="G62" i="1"/>
  <c r="G23" i="1"/>
  <c r="G26" i="1"/>
  <c r="G29" i="1"/>
  <c r="G30" i="1"/>
  <c r="G33" i="1"/>
  <c r="G34" i="1"/>
  <c r="G35" i="1"/>
  <c r="G36" i="1"/>
  <c r="G40" i="1"/>
  <c r="G41" i="1"/>
  <c r="G42" i="1"/>
  <c r="G22" i="1"/>
  <c r="G84" i="1"/>
  <c r="G120" i="1"/>
  <c r="G43" i="1"/>
  <c r="G32" i="1"/>
  <c r="G39" i="1"/>
  <c r="G143" i="1"/>
  <c r="G38" i="1"/>
  <c r="G141" i="1"/>
  <c r="G64" i="1"/>
  <c r="G31" i="1"/>
  <c r="F180" i="1"/>
  <c r="E180" i="1"/>
  <c r="G180" i="1"/>
</calcChain>
</file>

<file path=xl/sharedStrings.xml><?xml version="1.0" encoding="utf-8"?>
<sst xmlns="http://schemas.openxmlformats.org/spreadsheetml/2006/main" count="496" uniqueCount="246">
  <si>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</si>
  <si>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</si>
  <si>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</si>
  <si>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</si>
  <si>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</si>
  <si>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</si>
  <si>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</si>
  <si>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</si>
  <si>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</si>
  <si>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</si>
  <si>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</si>
  <si>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</si>
  <si>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</si>
  <si>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</si>
  <si>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</si>
  <si>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</si>
  <si>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</si>
  <si>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</si>
  <si>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</si>
  <si>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</si>
  <si>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</si>
  <si>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</si>
  <si>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</si>
  <si>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</si>
  <si>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</si>
  <si>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</si>
  <si>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</si>
  <si>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</si>
  <si>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</si>
  <si>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</si>
  <si>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</si>
  <si>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</si>
  <si>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</si>
  <si>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</si>
  <si>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</si>
  <si>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</si>
  <si>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</si>
  <si>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</si>
  <si>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</si>
  <si>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</si>
  <si>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</si>
  <si>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</si>
  <si>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</si>
  <si>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</si>
  <si>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</si>
  <si>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</si>
  <si>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</si>
  <si>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</si>
  <si>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</si>
  <si>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</si>
  <si>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</si>
  <si>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</si>
  <si>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</si>
  <si>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</si>
  <si>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</si>
  <si>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</si>
  <si>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</si>
  <si>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</si>
  <si>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</si>
  <si>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</si>
  <si>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</si>
  <si>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</si>
  <si>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</si>
  <si>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</si>
  <si>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</si>
  <si>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</si>
  <si>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</si>
  <si>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</si>
  <si>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</si>
  <si>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</si>
  <si>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</si>
  <si>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</si>
  <si>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</si>
  <si>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</si>
  <si>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</si>
  <si>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</si>
  <si>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</si>
  <si>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</si>
  <si>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</si>
  <si>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</si>
  <si>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</si>
  <si>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</si>
  <si>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</si>
  <si>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</si>
  <si>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</si>
  <si>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</si>
  <si>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</si>
  <si>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</si>
  <si>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</si>
  <si>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</si>
  <si>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</si>
  <si>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</si>
  <si>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</si>
  <si>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</si>
  <si>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</si>
  <si>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</si>
  <si>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</si>
  <si>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</si>
  <si>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</si>
  <si>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</si>
  <si>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</si>
  <si>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</si>
  <si>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</si>
  <si>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</si>
  <si>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</si>
  <si>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</si>
  <si>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</si>
  <si>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</si>
  <si>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</si>
  <si>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</si>
  <si>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</si>
  <si>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</si>
  <si>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</si>
  <si>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</si>
  <si>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</si>
  <si>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</si>
  <si>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</si>
  <si>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</si>
  <si>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</si>
  <si>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</si>
  <si>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</si>
  <si>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</si>
  <si>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</si>
  <si>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</si>
  <si>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</si>
  <si>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</si>
  <si>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</si>
  <si>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</si>
  <si>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</si>
  <si>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</si>
  <si>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</si>
  <si>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</si>
  <si>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</si>
  <si>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</si>
  <si>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</si>
  <si>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</si>
  <si>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</si>
  <si>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</si>
  <si>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</si>
  <si>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</si>
  <si>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</si>
  <si>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</si>
  <si>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</si>
  <si>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</si>
  <si>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</si>
  <si>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</si>
  <si>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</si>
  <si>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</si>
  <si>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</si>
  <si>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</si>
  <si>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</si>
  <si>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</si>
  <si>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</si>
  <si>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</si>
  <si>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</si>
  <si>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</si>
  <si>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</si>
  <si>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</si>
  <si>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</si>
  <si>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</si>
  <si>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</si>
  <si>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</si>
  <si>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</si>
  <si>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</si>
  <si>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</si>
  <si>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</si>
  <si>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</si>
  <si>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</si>
  <si>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</si>
  <si>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</si>
  <si>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</si>
  <si>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</si>
  <si>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</si>
  <si>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</si>
  <si>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</si>
  <si>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</si>
  <si>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</si>
  <si>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</si>
  <si>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</si>
  <si>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</si>
  <si>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</si>
  <si>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</si>
  <si>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</si>
  <si>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</si>
  <si>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</si>
  <si>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</si>
  <si>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</si>
  <si>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</si>
  <si>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</si>
  <si>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</si>
  <si>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</si>
  <si>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</si>
  <si>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</si>
  <si>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</si>
  <si>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</si>
  <si>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</si>
  <si>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</si>
  <si>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</si>
  <si>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</si>
  <si>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</si>
  <si>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</si>
  <si>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</si>
  <si>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</si>
  <si>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</si>
  <si>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</si>
  <si>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</si>
  <si>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</si>
  <si>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</si>
  <si>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</si>
  <si>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</si>
  <si>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</si>
  <si>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</si>
  <si>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</si>
  <si>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</si>
  <si>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</si>
  <si>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</si>
  <si>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</si>
  <si>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</si>
  <si>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</si>
  <si>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</si>
  <si>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</si>
  <si>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</si>
  <si>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</si>
  <si>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</si>
  <si>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</si>
  <si>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</si>
  <si>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</si>
  <si>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</si>
  <si>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</si>
  <si>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</si>
  <si>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</si>
  <si>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</si>
  <si>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</si>
  <si>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</si>
  <si>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</si>
  <si>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</si>
  <si>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</si>
  <si>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</si>
  <si>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</si>
  <si>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</si>
  <si>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</si>
  <si>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</si>
  <si>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</si>
  <si>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</si>
  <si>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январь </t>
    </r>
    <r>
      <rPr>
        <sz val="10"/>
        <color indexed="8"/>
        <rFont val="Courier New"/>
        <family val="3"/>
        <charset val="204"/>
      </rPr>
      <t>2022 год</t>
    </r>
  </si>
  <si>
    <t>ГРС Красноселькуп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</si>
</sst>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0000"/>
    <numFmt numFmtId="186" formatCode="#,##0.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/>
    </xf>
    <xf numFmtId="0" fontId="8" fillId="0" borderId="7" xfId="3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" fontId="13" fillId="0" borderId="18" xfId="0" applyNumberFormat="1" applyFont="1" applyBorder="1" applyAlignment="1">
      <alignment horizontal="center"/>
    </xf>
    <xf numFmtId="0" fontId="5" fillId="2" borderId="3" xfId="3" applyFont="1" applyFill="1" applyBorder="1" applyAlignment="1">
      <alignment horizontal="left" vertical="center" wrapText="1"/>
    </xf>
    <xf numFmtId="186" fontId="5" fillId="2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wrapText="1"/>
    </xf>
    <xf numFmtId="0" fontId="13" fillId="0" borderId="3" xfId="0" applyNumberFormat="1" applyFont="1" applyBorder="1" applyAlignment="1">
      <alignment horizontal="left" wrapText="1"/>
    </xf>
    <xf numFmtId="186" fontId="5" fillId="0" borderId="2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/>
    <xf numFmtId="186" fontId="13" fillId="2" borderId="0" xfId="0" applyNumberFormat="1" applyFont="1" applyFill="1" applyAlignment="1">
      <alignment vertical="center"/>
    </xf>
    <xf numFmtId="186" fontId="5" fillId="2" borderId="1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86" fontId="13" fillId="2" borderId="3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>
      <alignment horizontal="right" vertical="center"/>
    </xf>
    <xf numFmtId="178" fontId="13" fillId="2" borderId="3" xfId="0" applyNumberFormat="1" applyFont="1" applyFill="1" applyBorder="1" applyAlignment="1">
      <alignment vertical="center"/>
    </xf>
    <xf numFmtId="178" fontId="13" fillId="2" borderId="5" xfId="0" applyNumberFormat="1" applyFont="1" applyFill="1" applyBorder="1" applyAlignment="1">
      <alignment vertical="center"/>
    </xf>
    <xf numFmtId="178" fontId="8" fillId="2" borderId="9" xfId="0" applyNumberFormat="1" applyFont="1" applyFill="1" applyBorder="1" applyAlignment="1">
      <alignment vertical="center"/>
    </xf>
    <xf numFmtId="178" fontId="8" fillId="2" borderId="3" xfId="0" applyNumberFormat="1" applyFont="1" applyFill="1" applyBorder="1" applyAlignment="1">
      <alignment vertical="center"/>
    </xf>
    <xf numFmtId="178" fontId="13" fillId="2" borderId="9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 applyProtection="1">
      <alignment horizontal="right" vertical="center"/>
      <protection locked="0" hidden="1"/>
    </xf>
    <xf numFmtId="178" fontId="13" fillId="2" borderId="6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>
      <alignment horizontal="right"/>
    </xf>
    <xf numFmtId="178" fontId="5" fillId="2" borderId="1" xfId="0" applyNumberFormat="1" applyFont="1" applyFill="1" applyBorder="1" applyAlignment="1">
      <alignment vertical="center" wrapText="1"/>
    </xf>
    <xf numFmtId="178" fontId="13" fillId="2" borderId="14" xfId="0" applyNumberFormat="1" applyFont="1" applyFill="1" applyBorder="1" applyAlignment="1">
      <alignment horizontal="right" vertical="center"/>
    </xf>
    <xf numFmtId="186" fontId="13" fillId="2" borderId="10" xfId="0" applyNumberFormat="1" applyFont="1" applyFill="1" applyBorder="1" applyAlignment="1">
      <alignment vertical="center"/>
    </xf>
    <xf numFmtId="178" fontId="13" fillId="2" borderId="16" xfId="0" applyNumberFormat="1" applyFont="1" applyFill="1" applyBorder="1" applyAlignment="1">
      <alignment horizontal="right" vertical="center"/>
    </xf>
    <xf numFmtId="178" fontId="13" fillId="2" borderId="11" xfId="0" applyNumberFormat="1" applyFont="1" applyFill="1" applyBorder="1" applyAlignment="1">
      <alignment vertical="center"/>
    </xf>
    <xf numFmtId="186" fontId="8" fillId="2" borderId="10" xfId="0" applyNumberFormat="1" applyFont="1" applyFill="1" applyBorder="1" applyAlignment="1">
      <alignment vertical="center"/>
    </xf>
    <xf numFmtId="178" fontId="13" fillId="2" borderId="4" xfId="0" applyNumberFormat="1" applyFont="1" applyFill="1" applyBorder="1" applyAlignment="1">
      <alignment vertical="center"/>
    </xf>
    <xf numFmtId="186" fontId="13" fillId="2" borderId="12" xfId="0" applyNumberFormat="1" applyFont="1" applyFill="1" applyBorder="1" applyAlignment="1">
      <alignment vertical="center"/>
    </xf>
    <xf numFmtId="178" fontId="13" fillId="2" borderId="8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1"/>
  <sheetViews>
    <sheetView tabSelected="1" view="pageBreakPreview" topLeftCell="B176" zoomScale="130" zoomScaleNormal="130" zoomScaleSheetLayoutView="130" workbookViewId="0">
      <selection activeCell="F179" sqref="F179"/>
    </sheetView>
  </sheetViews>
  <sheetFormatPr defaultRowHeight="15" x14ac:dyDescent="0.25"/>
  <cols>
    <col min="1" max="1" width="20" style="2" customWidth="1"/>
    <col min="2" max="2" width="27.28515625" style="1" customWidth="1"/>
    <col min="3" max="3" width="31" customWidth="1"/>
    <col min="4" max="4" width="6.5703125" customWidth="1"/>
    <col min="5" max="5" width="11.42578125" style="54" customWidth="1"/>
    <col min="6" max="6" width="14.85546875" style="54" customWidth="1"/>
    <col min="7" max="7" width="14.85546875" style="53" customWidth="1"/>
  </cols>
  <sheetData>
    <row r="2" spans="1:6" x14ac:dyDescent="0.25">
      <c r="F2" s="54" t="s">
        <v>15</v>
      </c>
    </row>
    <row r="3" spans="1:6" x14ac:dyDescent="0.25">
      <c r="F3" s="54" t="s">
        <v>16</v>
      </c>
    </row>
    <row r="4" spans="1:6" x14ac:dyDescent="0.25">
      <c r="F4" s="54" t="s">
        <v>17</v>
      </c>
    </row>
    <row r="6" spans="1:6" x14ac:dyDescent="0.25">
      <c r="A6" s="79" t="s">
        <v>0</v>
      </c>
      <c r="B6" s="79"/>
      <c r="C6" s="79"/>
      <c r="D6" s="79"/>
      <c r="E6" s="79"/>
      <c r="F6" s="79"/>
    </row>
    <row r="7" spans="1:6" x14ac:dyDescent="0.25">
      <c r="A7" s="3"/>
    </row>
    <row r="8" spans="1:6" x14ac:dyDescent="0.25">
      <c r="A8" s="80" t="s">
        <v>7</v>
      </c>
      <c r="B8" s="80"/>
      <c r="C8" s="80"/>
      <c r="D8" s="80"/>
      <c r="E8" s="80"/>
      <c r="F8" s="80"/>
    </row>
    <row r="9" spans="1:6" x14ac:dyDescent="0.25">
      <c r="A9" s="80" t="s">
        <v>8</v>
      </c>
      <c r="B9" s="80"/>
      <c r="C9" s="80"/>
      <c r="D9" s="80"/>
      <c r="E9" s="80"/>
      <c r="F9" s="80"/>
    </row>
    <row r="10" spans="1:6" x14ac:dyDescent="0.25">
      <c r="A10" s="80" t="s">
        <v>9</v>
      </c>
      <c r="B10" s="80"/>
      <c r="C10" s="80"/>
      <c r="D10" s="80"/>
      <c r="E10" s="80"/>
      <c r="F10" s="80"/>
    </row>
    <row r="11" spans="1:6" x14ac:dyDescent="0.25">
      <c r="A11" s="80" t="s">
        <v>10</v>
      </c>
      <c r="B11" s="80"/>
      <c r="C11" s="80"/>
      <c r="D11" s="80"/>
      <c r="E11" s="80"/>
      <c r="F11" s="80"/>
    </row>
    <row r="12" spans="1:6" x14ac:dyDescent="0.25">
      <c r="A12" s="80" t="s">
        <v>11</v>
      </c>
      <c r="B12" s="80"/>
      <c r="C12" s="80"/>
      <c r="D12" s="80"/>
      <c r="E12" s="80"/>
      <c r="F12" s="80"/>
    </row>
    <row r="13" spans="1:6" x14ac:dyDescent="0.25">
      <c r="A13" s="80" t="s">
        <v>12</v>
      </c>
      <c r="B13" s="80"/>
      <c r="C13" s="80"/>
      <c r="D13" s="80"/>
      <c r="E13" s="80"/>
      <c r="F13" s="80"/>
    </row>
    <row r="14" spans="1:6" x14ac:dyDescent="0.25">
      <c r="A14" s="80" t="s">
        <v>244</v>
      </c>
      <c r="B14" s="80"/>
      <c r="C14" s="80"/>
      <c r="D14" s="80"/>
      <c r="E14" s="80"/>
      <c r="F14" s="80"/>
    </row>
    <row r="15" spans="1:6" x14ac:dyDescent="0.25">
      <c r="A15" s="80" t="s">
        <v>13</v>
      </c>
      <c r="B15" s="80"/>
      <c r="C15" s="80"/>
      <c r="D15" s="80"/>
      <c r="E15" s="80"/>
      <c r="F15" s="80"/>
    </row>
    <row r="16" spans="1:6" x14ac:dyDescent="0.25">
      <c r="A16" s="80"/>
      <c r="B16" s="80"/>
      <c r="C16" s="80"/>
      <c r="D16" s="80"/>
      <c r="E16" s="80"/>
      <c r="F16" s="80"/>
    </row>
    <row r="17" spans="1:7" x14ac:dyDescent="0.25">
      <c r="A17" s="80" t="s">
        <v>1</v>
      </c>
      <c r="B17" s="80"/>
      <c r="C17" s="80"/>
      <c r="D17" s="80"/>
      <c r="E17" s="80"/>
      <c r="F17" s="80"/>
    </row>
    <row r="18" spans="1:7" x14ac:dyDescent="0.25">
      <c r="A18" s="80" t="s">
        <v>14</v>
      </c>
      <c r="B18" s="80"/>
      <c r="C18" s="80"/>
      <c r="D18" s="80"/>
      <c r="E18" s="80"/>
      <c r="F18" s="80"/>
    </row>
    <row r="19" spans="1:7" ht="15.75" thickBot="1" x14ac:dyDescent="0.3">
      <c r="A19" s="3"/>
    </row>
    <row r="20" spans="1:7" ht="13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49" t="s">
        <v>224</v>
      </c>
      <c r="F20" s="49" t="s">
        <v>225</v>
      </c>
      <c r="G20" s="52" t="s">
        <v>226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56">
        <v>4</v>
      </c>
      <c r="F21" s="58">
        <v>5</v>
      </c>
      <c r="G21" s="57">
        <v>8</v>
      </c>
    </row>
    <row r="22" spans="1:7" ht="30" x14ac:dyDescent="0.25">
      <c r="A22" s="30" t="s">
        <v>18</v>
      </c>
      <c r="B22" s="25" t="s">
        <v>21</v>
      </c>
      <c r="C22" s="25" t="s">
        <v>139</v>
      </c>
      <c r="D22" s="37">
        <v>5</v>
      </c>
      <c r="E22" s="70">
        <f>57.592/1000</f>
        <v>5.7591999999999997E-2</v>
      </c>
      <c r="F22" s="70">
        <f>35.032/1000</f>
        <v>3.5031999999999994E-2</v>
      </c>
      <c r="G22" s="71">
        <f>E22-F22</f>
        <v>2.2560000000000004E-2</v>
      </c>
    </row>
    <row r="23" spans="1:7" ht="15" customHeight="1" x14ac:dyDescent="0.25">
      <c r="A23" s="30" t="s">
        <v>18</v>
      </c>
      <c r="B23" s="25" t="s">
        <v>22</v>
      </c>
      <c r="C23" s="25" t="s">
        <v>178</v>
      </c>
      <c r="D23" s="34">
        <v>5</v>
      </c>
      <c r="E23" s="70">
        <v>1.9699999999999999E-2</v>
      </c>
      <c r="F23" s="70">
        <v>1.7226000000000002E-2</v>
      </c>
      <c r="G23" s="71">
        <f t="shared" ref="G23:G87" si="0">E23-F23</f>
        <v>2.473999999999997E-3</v>
      </c>
    </row>
    <row r="24" spans="1:7" ht="30" x14ac:dyDescent="0.25">
      <c r="A24" s="30" t="s">
        <v>18</v>
      </c>
      <c r="B24" s="25" t="s">
        <v>19</v>
      </c>
      <c r="C24" s="25" t="s">
        <v>138</v>
      </c>
      <c r="D24" s="34">
        <v>3</v>
      </c>
      <c r="E24" s="70">
        <f>1525.79/1000</f>
        <v>1.52579</v>
      </c>
      <c r="F24" s="70">
        <v>1.45259</v>
      </c>
      <c r="G24" s="71">
        <f t="shared" si="0"/>
        <v>7.3199999999999932E-2</v>
      </c>
    </row>
    <row r="25" spans="1:7" ht="30" x14ac:dyDescent="0.25">
      <c r="A25" s="30" t="s">
        <v>18</v>
      </c>
      <c r="B25" s="25" t="s">
        <v>20</v>
      </c>
      <c r="C25" s="25" t="s">
        <v>139</v>
      </c>
      <c r="D25" s="34">
        <v>4</v>
      </c>
      <c r="E25" s="60">
        <f>401.953/1000</f>
        <v>0.40195299999999995</v>
      </c>
      <c r="F25" s="60">
        <f>319.562/1000</f>
        <v>0.31956200000000001</v>
      </c>
      <c r="G25" s="71">
        <f t="shared" si="0"/>
        <v>8.2390999999999937E-2</v>
      </c>
    </row>
    <row r="26" spans="1:7" ht="45" x14ac:dyDescent="0.25">
      <c r="A26" s="30" t="s">
        <v>18</v>
      </c>
      <c r="B26" s="10" t="s">
        <v>181</v>
      </c>
      <c r="C26" s="12" t="s">
        <v>140</v>
      </c>
      <c r="D26" s="28">
        <v>3</v>
      </c>
      <c r="E26" s="70">
        <v>1.449E-3</v>
      </c>
      <c r="F26" s="70">
        <v>1.449E-3</v>
      </c>
      <c r="G26" s="71">
        <f t="shared" si="0"/>
        <v>0</v>
      </c>
    </row>
    <row r="27" spans="1:7" ht="45" x14ac:dyDescent="0.25">
      <c r="A27" s="30" t="s">
        <v>18</v>
      </c>
      <c r="B27" s="10" t="s">
        <v>182</v>
      </c>
      <c r="C27" s="12" t="s">
        <v>140</v>
      </c>
      <c r="D27" s="28">
        <v>3</v>
      </c>
      <c r="E27" s="70">
        <f>0.124/1000</f>
        <v>1.2400000000000001E-4</v>
      </c>
      <c r="F27" s="70">
        <f>0.124/1000</f>
        <v>1.2400000000000001E-4</v>
      </c>
      <c r="G27" s="71">
        <f t="shared" si="0"/>
        <v>0</v>
      </c>
    </row>
    <row r="28" spans="1:7" ht="30" x14ac:dyDescent="0.25">
      <c r="A28" s="17" t="s">
        <v>23</v>
      </c>
      <c r="B28" s="13" t="s">
        <v>24</v>
      </c>
      <c r="C28" s="14" t="s">
        <v>141</v>
      </c>
      <c r="D28" s="34">
        <v>6</v>
      </c>
      <c r="E28" s="72">
        <f>90/1000</f>
        <v>0.09</v>
      </c>
      <c r="F28" s="60">
        <f>73.183/1000</f>
        <v>7.3183000000000012E-2</v>
      </c>
      <c r="G28" s="71">
        <f t="shared" si="0"/>
        <v>1.6816999999999985E-2</v>
      </c>
    </row>
    <row r="29" spans="1:7" ht="30" x14ac:dyDescent="0.25">
      <c r="A29" s="17" t="s">
        <v>23</v>
      </c>
      <c r="B29" s="13" t="s">
        <v>25</v>
      </c>
      <c r="C29" s="15" t="s">
        <v>142</v>
      </c>
      <c r="D29" s="34">
        <v>5</v>
      </c>
      <c r="E29" s="65">
        <v>0.04</v>
      </c>
      <c r="F29" s="61">
        <v>2.0919E-2</v>
      </c>
      <c r="G29" s="71">
        <f t="shared" si="0"/>
        <v>1.9081000000000001E-2</v>
      </c>
    </row>
    <row r="30" spans="1:7" ht="45" x14ac:dyDescent="0.25">
      <c r="A30" s="17" t="s">
        <v>23</v>
      </c>
      <c r="B30" s="13" t="s">
        <v>26</v>
      </c>
      <c r="C30" s="15" t="s">
        <v>142</v>
      </c>
      <c r="D30" s="34">
        <v>6</v>
      </c>
      <c r="E30" s="65">
        <v>3.5999999999999999E-3</v>
      </c>
      <c r="F30" s="61">
        <v>3.9290000000000002E-3</v>
      </c>
      <c r="G30" s="71">
        <f t="shared" si="0"/>
        <v>-3.290000000000003E-4</v>
      </c>
    </row>
    <row r="31" spans="1:7" ht="30" x14ac:dyDescent="0.25">
      <c r="A31" s="17" t="s">
        <v>27</v>
      </c>
      <c r="B31" s="25" t="s">
        <v>28</v>
      </c>
      <c r="C31" s="25" t="s">
        <v>179</v>
      </c>
      <c r="D31" s="34">
        <v>5</v>
      </c>
      <c r="E31" s="78">
        <f>121/1000</f>
        <v>0.121</v>
      </c>
      <c r="F31" s="60">
        <f>79.213/1000</f>
        <v>7.9212999999999992E-2</v>
      </c>
      <c r="G31" s="71">
        <f t="shared" si="0"/>
        <v>4.1787000000000005E-2</v>
      </c>
    </row>
    <row r="32" spans="1:7" ht="30" x14ac:dyDescent="0.25">
      <c r="A32" s="17" t="s">
        <v>27</v>
      </c>
      <c r="B32" s="25" t="s">
        <v>25</v>
      </c>
      <c r="C32" s="25" t="s">
        <v>143</v>
      </c>
      <c r="D32" s="34">
        <v>5</v>
      </c>
      <c r="E32" s="60">
        <f>120/1000</f>
        <v>0.12</v>
      </c>
      <c r="F32" s="60">
        <f>102.62/1000</f>
        <v>0.10262</v>
      </c>
      <c r="G32" s="71">
        <f t="shared" si="0"/>
        <v>1.7379999999999993E-2</v>
      </c>
    </row>
    <row r="33" spans="1:7" ht="45" x14ac:dyDescent="0.25">
      <c r="A33" s="17" t="s">
        <v>27</v>
      </c>
      <c r="B33" s="16" t="s">
        <v>183</v>
      </c>
      <c r="C33" s="11" t="s">
        <v>140</v>
      </c>
      <c r="D33" s="22">
        <v>3</v>
      </c>
      <c r="E33" s="61">
        <v>2.4099999999999998E-3</v>
      </c>
      <c r="F33" s="61">
        <v>2.4099999999999998E-3</v>
      </c>
      <c r="G33" s="71">
        <f t="shared" si="0"/>
        <v>0</v>
      </c>
    </row>
    <row r="34" spans="1:7" ht="60" x14ac:dyDescent="0.25">
      <c r="A34" s="17" t="s">
        <v>27</v>
      </c>
      <c r="B34" s="16" t="s">
        <v>184</v>
      </c>
      <c r="C34" s="11" t="s">
        <v>140</v>
      </c>
      <c r="D34" s="22">
        <v>3</v>
      </c>
      <c r="E34" s="61">
        <f>0.959/1000</f>
        <v>9.59E-4</v>
      </c>
      <c r="F34" s="61">
        <f>0.959/1000</f>
        <v>9.59E-4</v>
      </c>
      <c r="G34" s="71">
        <f t="shared" si="0"/>
        <v>0</v>
      </c>
    </row>
    <row r="35" spans="1:7" ht="60" x14ac:dyDescent="0.25">
      <c r="A35" s="17" t="s">
        <v>27</v>
      </c>
      <c r="B35" s="16" t="s">
        <v>29</v>
      </c>
      <c r="C35" s="11" t="s">
        <v>140</v>
      </c>
      <c r="D35" s="22">
        <v>3</v>
      </c>
      <c r="E35" s="61">
        <v>1E-3</v>
      </c>
      <c r="F35" s="61">
        <v>1E-3</v>
      </c>
      <c r="G35" s="71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144</v>
      </c>
      <c r="D36" s="34">
        <v>3</v>
      </c>
      <c r="E36" s="78">
        <f>2545/1000</f>
        <v>2.5449999999999999</v>
      </c>
      <c r="F36" s="60">
        <f>1498.886/1000</f>
        <v>1.4988859999999999</v>
      </c>
      <c r="G36" s="71">
        <f t="shared" si="0"/>
        <v>1.046114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4">
        <v>8</v>
      </c>
      <c r="E37" s="60">
        <f>1026/1000</f>
        <v>1.026</v>
      </c>
      <c r="F37" s="60">
        <f>1126.132/1000</f>
        <v>1.1261320000000001</v>
      </c>
      <c r="G37" s="71">
        <f t="shared" si="0"/>
        <v>-0.10013200000000011</v>
      </c>
    </row>
    <row r="38" spans="1:7" ht="15" customHeight="1" x14ac:dyDescent="0.25">
      <c r="A38" s="30" t="s">
        <v>33</v>
      </c>
      <c r="B38" s="27" t="s">
        <v>34</v>
      </c>
      <c r="C38" s="30" t="s">
        <v>145</v>
      </c>
      <c r="D38" s="34">
        <v>4</v>
      </c>
      <c r="E38" s="60">
        <f>914.144/1000</f>
        <v>0.91414399999999996</v>
      </c>
      <c r="F38" s="60">
        <f>780.451/1000</f>
        <v>0.78045100000000001</v>
      </c>
      <c r="G38" s="71">
        <f t="shared" si="0"/>
        <v>0.13369299999999995</v>
      </c>
    </row>
    <row r="39" spans="1:7" x14ac:dyDescent="0.25">
      <c r="A39" s="30" t="s">
        <v>33</v>
      </c>
      <c r="B39" s="16" t="s">
        <v>35</v>
      </c>
      <c r="C39" s="30" t="s">
        <v>145</v>
      </c>
      <c r="D39" s="34">
        <v>4</v>
      </c>
      <c r="E39" s="60">
        <f>614.615/1000</f>
        <v>0.61461500000000002</v>
      </c>
      <c r="F39" s="60">
        <f>558.815/1000</f>
        <v>0.55881500000000006</v>
      </c>
      <c r="G39" s="71">
        <f t="shared" si="0"/>
        <v>5.5799999999999961E-2</v>
      </c>
    </row>
    <row r="40" spans="1:7" ht="25.5" customHeight="1" x14ac:dyDescent="0.25">
      <c r="A40" s="30" t="s">
        <v>33</v>
      </c>
      <c r="B40" s="16" t="s">
        <v>36</v>
      </c>
      <c r="C40" s="11" t="s">
        <v>180</v>
      </c>
      <c r="D40" s="34">
        <v>4</v>
      </c>
      <c r="E40" s="65">
        <v>0.125</v>
      </c>
      <c r="F40" s="60">
        <f>32.5/1000</f>
        <v>3.2500000000000001E-2</v>
      </c>
      <c r="G40" s="71">
        <f t="shared" si="0"/>
        <v>9.2499999999999999E-2</v>
      </c>
    </row>
    <row r="41" spans="1:7" x14ac:dyDescent="0.25">
      <c r="A41" s="30" t="s">
        <v>33</v>
      </c>
      <c r="B41" s="16" t="s">
        <v>37</v>
      </c>
      <c r="C41" s="11" t="s">
        <v>37</v>
      </c>
      <c r="D41" s="34">
        <v>8</v>
      </c>
      <c r="E41" s="73">
        <v>0.02</v>
      </c>
      <c r="F41" s="61">
        <v>2.0979999999999999E-2</v>
      </c>
      <c r="G41" s="71">
        <f t="shared" si="0"/>
        <v>-9.7999999999999823E-4</v>
      </c>
    </row>
    <row r="42" spans="1:7" ht="45" x14ac:dyDescent="0.25">
      <c r="A42" s="30" t="s">
        <v>33</v>
      </c>
      <c r="B42" s="16" t="s">
        <v>185</v>
      </c>
      <c r="C42" s="11" t="s">
        <v>140</v>
      </c>
      <c r="D42" s="21">
        <v>3</v>
      </c>
      <c r="E42" s="61">
        <v>4.032E-3</v>
      </c>
      <c r="F42" s="61">
        <v>4.032E-3</v>
      </c>
      <c r="G42" s="71">
        <f t="shared" si="0"/>
        <v>0</v>
      </c>
    </row>
    <row r="43" spans="1:7" ht="45" x14ac:dyDescent="0.25">
      <c r="A43" s="30" t="s">
        <v>33</v>
      </c>
      <c r="B43" s="16" t="s">
        <v>186</v>
      </c>
      <c r="C43" s="11" t="s">
        <v>140</v>
      </c>
      <c r="D43" s="21">
        <v>3</v>
      </c>
      <c r="E43" s="60">
        <f>1.518/1000</f>
        <v>1.518E-3</v>
      </c>
      <c r="F43" s="60">
        <f>1.518/1000</f>
        <v>1.518E-3</v>
      </c>
      <c r="G43" s="71">
        <f>E43-F43</f>
        <v>0</v>
      </c>
    </row>
    <row r="44" spans="1:7" ht="45" x14ac:dyDescent="0.25">
      <c r="A44" s="30" t="s">
        <v>33</v>
      </c>
      <c r="B44" s="16" t="s">
        <v>187</v>
      </c>
      <c r="C44" s="11" t="s">
        <v>140</v>
      </c>
      <c r="D44" s="21">
        <v>3</v>
      </c>
      <c r="E44" s="60">
        <f>0.435/1000</f>
        <v>4.35E-4</v>
      </c>
      <c r="F44" s="60">
        <f>0.435/1000</f>
        <v>4.35E-4</v>
      </c>
      <c r="G44" s="71">
        <f t="shared" si="0"/>
        <v>0</v>
      </c>
    </row>
    <row r="45" spans="1:7" ht="60" x14ac:dyDescent="0.25">
      <c r="A45" s="30" t="s">
        <v>33</v>
      </c>
      <c r="B45" s="25" t="s">
        <v>229</v>
      </c>
      <c r="C45" s="11" t="s">
        <v>230</v>
      </c>
      <c r="D45" s="21">
        <v>4</v>
      </c>
      <c r="E45" s="61">
        <v>1.0999999999999999E-2</v>
      </c>
      <c r="F45" s="60">
        <f>9.867/1000</f>
        <v>9.8670000000000008E-3</v>
      </c>
      <c r="G45" s="71">
        <f t="shared" si="0"/>
        <v>1.1329999999999986E-3</v>
      </c>
    </row>
    <row r="46" spans="1:7" ht="30" x14ac:dyDescent="0.25">
      <c r="A46" s="30" t="s">
        <v>33</v>
      </c>
      <c r="B46" s="16" t="s">
        <v>39</v>
      </c>
      <c r="C46" s="11" t="s">
        <v>146</v>
      </c>
      <c r="D46" s="21">
        <v>6</v>
      </c>
      <c r="E46" s="67">
        <v>8.5000000000000006E-3</v>
      </c>
      <c r="F46" s="60">
        <f>4.021/1000</f>
        <v>4.0210000000000003E-3</v>
      </c>
      <c r="G46" s="71">
        <f t="shared" si="0"/>
        <v>4.4790000000000003E-3</v>
      </c>
    </row>
    <row r="47" spans="1:7" ht="45" x14ac:dyDescent="0.25">
      <c r="A47" s="30" t="s">
        <v>33</v>
      </c>
      <c r="B47" s="25" t="s">
        <v>233</v>
      </c>
      <c r="C47" s="38" t="s">
        <v>232</v>
      </c>
      <c r="D47" s="21">
        <v>6</v>
      </c>
      <c r="E47" s="60">
        <f>1.3/1000</f>
        <v>1.2999999999999999E-3</v>
      </c>
      <c r="F47" s="60">
        <f>1.372/1000</f>
        <v>1.3720000000000002E-3</v>
      </c>
      <c r="G47" s="71">
        <f t="shared" si="0"/>
        <v>-7.2000000000000232E-5</v>
      </c>
    </row>
    <row r="48" spans="1:7" ht="45" x14ac:dyDescent="0.25">
      <c r="A48" s="30" t="s">
        <v>33</v>
      </c>
      <c r="B48" s="25" t="s">
        <v>234</v>
      </c>
      <c r="C48" s="11" t="s">
        <v>180</v>
      </c>
      <c r="D48" s="34">
        <v>6</v>
      </c>
      <c r="E48" s="61">
        <v>4.0000000000000001E-3</v>
      </c>
      <c r="F48" s="61">
        <v>4.1399999999999996E-3</v>
      </c>
      <c r="G48" s="71">
        <f t="shared" si="0"/>
        <v>-1.399999999999995E-4</v>
      </c>
    </row>
    <row r="49" spans="1:7" ht="30" x14ac:dyDescent="0.25">
      <c r="A49" s="30" t="s">
        <v>33</v>
      </c>
      <c r="B49" s="25" t="s">
        <v>38</v>
      </c>
      <c r="C49" s="25" t="s">
        <v>147</v>
      </c>
      <c r="D49" s="34">
        <v>7</v>
      </c>
      <c r="E49" s="62">
        <v>1.1999999999999999E-3</v>
      </c>
      <c r="F49" s="60">
        <f>1.472/1000</f>
        <v>1.472E-3</v>
      </c>
      <c r="G49" s="71">
        <f t="shared" si="0"/>
        <v>-2.7200000000000011E-4</v>
      </c>
    </row>
    <row r="50" spans="1:7" ht="45" x14ac:dyDescent="0.25">
      <c r="A50" s="30" t="s">
        <v>33</v>
      </c>
      <c r="B50" s="25" t="s">
        <v>228</v>
      </c>
      <c r="C50" s="11" t="s">
        <v>180</v>
      </c>
      <c r="D50" s="34">
        <v>6</v>
      </c>
      <c r="E50" s="60">
        <f>2.7/1000</f>
        <v>2.7000000000000001E-3</v>
      </c>
      <c r="F50" s="60">
        <f>1.697/1000</f>
        <v>1.6970000000000002E-3</v>
      </c>
      <c r="G50" s="71">
        <f t="shared" si="0"/>
        <v>1.003E-3</v>
      </c>
    </row>
    <row r="51" spans="1:7" ht="45" x14ac:dyDescent="0.25">
      <c r="A51" s="30" t="s">
        <v>33</v>
      </c>
      <c r="B51" s="25" t="s">
        <v>231</v>
      </c>
      <c r="C51" s="25" t="s">
        <v>148</v>
      </c>
      <c r="D51" s="34">
        <v>7</v>
      </c>
      <c r="E51" s="61">
        <v>6.6000000000000005E-5</v>
      </c>
      <c r="F51" s="61">
        <v>0</v>
      </c>
      <c r="G51" s="71">
        <f t="shared" si="0"/>
        <v>6.6000000000000005E-5</v>
      </c>
    </row>
    <row r="52" spans="1:7" ht="30" x14ac:dyDescent="0.25">
      <c r="A52" s="30" t="s">
        <v>33</v>
      </c>
      <c r="B52" s="25" t="s">
        <v>188</v>
      </c>
      <c r="C52" s="25" t="s">
        <v>148</v>
      </c>
      <c r="D52" s="34">
        <v>7</v>
      </c>
      <c r="E52" s="61">
        <v>1.3300000000000001E-4</v>
      </c>
      <c r="F52" s="61">
        <v>0</v>
      </c>
      <c r="G52" s="71">
        <f t="shared" si="0"/>
        <v>1.3300000000000001E-4</v>
      </c>
    </row>
    <row r="53" spans="1:7" ht="30" x14ac:dyDescent="0.25">
      <c r="A53" s="30" t="s">
        <v>33</v>
      </c>
      <c r="B53" s="25" t="s">
        <v>40</v>
      </c>
      <c r="C53" s="25" t="s">
        <v>148</v>
      </c>
      <c r="D53" s="34">
        <v>7</v>
      </c>
      <c r="E53" s="61">
        <v>1.3300000000000001E-4</v>
      </c>
      <c r="F53" s="61">
        <v>2.1100000000000001E-4</v>
      </c>
      <c r="G53" s="71">
        <f t="shared" si="0"/>
        <v>-7.7999999999999999E-5</v>
      </c>
    </row>
    <row r="54" spans="1:7" ht="30" x14ac:dyDescent="0.25">
      <c r="A54" s="30" t="s">
        <v>33</v>
      </c>
      <c r="B54" s="16" t="s">
        <v>41</v>
      </c>
      <c r="C54" s="11" t="s">
        <v>149</v>
      </c>
      <c r="D54" s="34">
        <v>7</v>
      </c>
      <c r="E54" s="60">
        <f>0.022/1000</f>
        <v>2.1999999999999999E-5</v>
      </c>
      <c r="F54" s="61">
        <f>0.006/1000</f>
        <v>6.0000000000000002E-6</v>
      </c>
      <c r="G54" s="71">
        <f t="shared" si="0"/>
        <v>1.5999999999999999E-5</v>
      </c>
    </row>
    <row r="55" spans="1:7" ht="60" x14ac:dyDescent="0.25">
      <c r="A55" s="42" t="s">
        <v>33</v>
      </c>
      <c r="B55" s="43" t="s">
        <v>189</v>
      </c>
      <c r="C55" s="43" t="s">
        <v>190</v>
      </c>
      <c r="D55" s="44">
        <v>7</v>
      </c>
      <c r="E55" s="63">
        <v>2.1999999999999999E-5</v>
      </c>
      <c r="F55" s="64">
        <v>0</v>
      </c>
      <c r="G55" s="74">
        <f t="shared" si="0"/>
        <v>2.1999999999999999E-5</v>
      </c>
    </row>
    <row r="56" spans="1:7" ht="60" x14ac:dyDescent="0.25">
      <c r="A56" s="42" t="s">
        <v>33</v>
      </c>
      <c r="B56" s="43" t="s">
        <v>191</v>
      </c>
      <c r="C56" s="43" t="s">
        <v>190</v>
      </c>
      <c r="D56" s="44">
        <v>7</v>
      </c>
      <c r="E56" s="60">
        <f>0.133/1000</f>
        <v>1.3300000000000001E-4</v>
      </c>
      <c r="F56" s="64">
        <v>0</v>
      </c>
      <c r="G56" s="74">
        <f t="shared" si="0"/>
        <v>1.3300000000000001E-4</v>
      </c>
    </row>
    <row r="57" spans="1:7" ht="60" x14ac:dyDescent="0.25">
      <c r="A57" s="42" t="s">
        <v>33</v>
      </c>
      <c r="B57" s="43" t="s">
        <v>42</v>
      </c>
      <c r="C57" s="43" t="s">
        <v>190</v>
      </c>
      <c r="D57" s="44">
        <v>7</v>
      </c>
      <c r="E57" s="63">
        <v>2.1999999999999999E-5</v>
      </c>
      <c r="F57" s="64">
        <v>0</v>
      </c>
      <c r="G57" s="74">
        <f t="shared" si="0"/>
        <v>2.1999999999999999E-5</v>
      </c>
    </row>
    <row r="58" spans="1:7" ht="45" x14ac:dyDescent="0.25">
      <c r="A58" s="42" t="s">
        <v>33</v>
      </c>
      <c r="B58" s="43" t="s">
        <v>192</v>
      </c>
      <c r="C58" s="43" t="s">
        <v>190</v>
      </c>
      <c r="D58" s="44">
        <v>7</v>
      </c>
      <c r="E58" s="63">
        <v>4.3999999999999999E-5</v>
      </c>
      <c r="F58" s="64">
        <v>0</v>
      </c>
      <c r="G58" s="74">
        <f t="shared" si="0"/>
        <v>4.3999999999999999E-5</v>
      </c>
    </row>
    <row r="59" spans="1:7" ht="44.25" customHeight="1" x14ac:dyDescent="0.25">
      <c r="A59" s="42" t="s">
        <v>33</v>
      </c>
      <c r="B59" s="43" t="s">
        <v>239</v>
      </c>
      <c r="C59" s="45" t="s">
        <v>240</v>
      </c>
      <c r="D59" s="44">
        <v>4</v>
      </c>
      <c r="E59" s="60">
        <f>680.76/1000</f>
        <v>0.68076000000000003</v>
      </c>
      <c r="F59" s="60">
        <f>25/1000</f>
        <v>2.5000000000000001E-2</v>
      </c>
      <c r="G59" s="74">
        <f>E59-F59</f>
        <v>0.65576000000000001</v>
      </c>
    </row>
    <row r="60" spans="1:7" x14ac:dyDescent="0.25">
      <c r="A60" s="30" t="s">
        <v>245</v>
      </c>
      <c r="B60" s="27" t="s">
        <v>44</v>
      </c>
      <c r="C60" s="31" t="s">
        <v>150</v>
      </c>
      <c r="D60" s="34">
        <v>4</v>
      </c>
      <c r="E60" s="68">
        <f>650/1000</f>
        <v>0.65</v>
      </c>
      <c r="F60" s="68">
        <f>531.741/1000</f>
        <v>0.53174100000000002</v>
      </c>
      <c r="G60" s="71">
        <f t="shared" si="0"/>
        <v>0.118259</v>
      </c>
    </row>
    <row r="61" spans="1:7" x14ac:dyDescent="0.25">
      <c r="A61" s="30" t="s">
        <v>245</v>
      </c>
      <c r="B61" s="16" t="s">
        <v>43</v>
      </c>
      <c r="C61" s="31" t="s">
        <v>150</v>
      </c>
      <c r="D61" s="34">
        <v>4</v>
      </c>
      <c r="E61" s="68">
        <f>1150/1000</f>
        <v>1.1499999999999999</v>
      </c>
      <c r="F61" s="68">
        <f>854.169/1000</f>
        <v>0.85416899999999996</v>
      </c>
      <c r="G61" s="71">
        <f t="shared" si="0"/>
        <v>0.29583099999999996</v>
      </c>
    </row>
    <row r="62" spans="1:7" ht="45" x14ac:dyDescent="0.25">
      <c r="A62" s="30" t="s">
        <v>245</v>
      </c>
      <c r="B62" s="16" t="s">
        <v>193</v>
      </c>
      <c r="C62" s="11" t="s">
        <v>140</v>
      </c>
      <c r="D62" s="22">
        <v>3</v>
      </c>
      <c r="E62" s="61">
        <v>0.118766</v>
      </c>
      <c r="F62" s="61">
        <v>0.118766</v>
      </c>
      <c r="G62" s="71">
        <f t="shared" si="0"/>
        <v>0</v>
      </c>
    </row>
    <row r="63" spans="1:7" ht="60" x14ac:dyDescent="0.25">
      <c r="A63" s="30" t="s">
        <v>245</v>
      </c>
      <c r="B63" s="16" t="s">
        <v>194</v>
      </c>
      <c r="C63" s="11" t="s">
        <v>140</v>
      </c>
      <c r="D63" s="22">
        <v>3</v>
      </c>
      <c r="E63" s="61">
        <v>6.7000000000000002E-3</v>
      </c>
      <c r="F63" s="61">
        <v>6.7000000000000002E-3</v>
      </c>
      <c r="G63" s="71">
        <f>E63-F63</f>
        <v>0</v>
      </c>
    </row>
    <row r="64" spans="1:7" ht="60" x14ac:dyDescent="0.25">
      <c r="A64" s="30" t="s">
        <v>245</v>
      </c>
      <c r="B64" s="16" t="s">
        <v>195</v>
      </c>
      <c r="C64" s="11" t="s">
        <v>140</v>
      </c>
      <c r="D64" s="22">
        <v>3</v>
      </c>
      <c r="E64" s="60">
        <f>0.126/1000</f>
        <v>1.26E-4</v>
      </c>
      <c r="F64" s="60">
        <f>0.126/1000</f>
        <v>1.26E-4</v>
      </c>
      <c r="G64" s="71">
        <f t="shared" si="0"/>
        <v>0</v>
      </c>
    </row>
    <row r="65" spans="1:7" ht="45" x14ac:dyDescent="0.25">
      <c r="A65" s="30" t="s">
        <v>245</v>
      </c>
      <c r="B65" s="25" t="s">
        <v>45</v>
      </c>
      <c r="C65" s="25" t="s">
        <v>151</v>
      </c>
      <c r="D65" s="34">
        <v>6</v>
      </c>
      <c r="E65" s="62">
        <v>3.0000000000000001E-3</v>
      </c>
      <c r="F65" s="60">
        <f>1.013/1000</f>
        <v>1.0129999999999998E-3</v>
      </c>
      <c r="G65" s="71">
        <f t="shared" si="0"/>
        <v>1.9870000000000001E-3</v>
      </c>
    </row>
    <row r="66" spans="1:7" ht="30" x14ac:dyDescent="0.25">
      <c r="A66" s="30" t="s">
        <v>245</v>
      </c>
      <c r="B66" s="25" t="s">
        <v>196</v>
      </c>
      <c r="C66" s="39" t="s">
        <v>197</v>
      </c>
      <c r="D66" s="34">
        <v>4</v>
      </c>
      <c r="E66" s="65">
        <v>0.15</v>
      </c>
      <c r="F66" s="60">
        <f>74.311/1000</f>
        <v>7.4311000000000002E-2</v>
      </c>
      <c r="G66" s="71">
        <f t="shared" si="0"/>
        <v>7.5688999999999992E-2</v>
      </c>
    </row>
    <row r="67" spans="1:7" ht="15" customHeight="1" x14ac:dyDescent="0.25">
      <c r="A67" s="31" t="s">
        <v>46</v>
      </c>
      <c r="B67" s="46" t="s">
        <v>49</v>
      </c>
      <c r="C67" s="11" t="s">
        <v>152</v>
      </c>
      <c r="D67" s="47">
        <v>5</v>
      </c>
      <c r="E67" s="61">
        <v>0.04</v>
      </c>
      <c r="F67" s="60">
        <f>31.25/1000</f>
        <v>3.125E-2</v>
      </c>
      <c r="G67" s="71">
        <f t="shared" si="0"/>
        <v>8.7500000000000008E-3</v>
      </c>
    </row>
    <row r="68" spans="1:7" ht="30" x14ac:dyDescent="0.25">
      <c r="A68" s="31" t="s">
        <v>46</v>
      </c>
      <c r="B68" s="46" t="s">
        <v>50</v>
      </c>
      <c r="C68" s="11" t="s">
        <v>152</v>
      </c>
      <c r="D68" s="47">
        <v>5</v>
      </c>
      <c r="E68" s="61">
        <v>3.5000000000000003E-2</v>
      </c>
      <c r="F68" s="60">
        <f>18.03/1000</f>
        <v>1.8030000000000001E-2</v>
      </c>
      <c r="G68" s="71">
        <f t="shared" si="0"/>
        <v>1.6970000000000002E-2</v>
      </c>
    </row>
    <row r="69" spans="1:7" ht="30" x14ac:dyDescent="0.25">
      <c r="A69" s="31" t="s">
        <v>46</v>
      </c>
      <c r="B69" s="46" t="s">
        <v>48</v>
      </c>
      <c r="C69" s="11" t="s">
        <v>152</v>
      </c>
      <c r="D69" s="47">
        <v>5</v>
      </c>
      <c r="E69" s="61">
        <v>0.04</v>
      </c>
      <c r="F69" s="61">
        <v>3.3489999999999999E-2</v>
      </c>
      <c r="G69" s="71">
        <f t="shared" si="0"/>
        <v>6.5100000000000019E-3</v>
      </c>
    </row>
    <row r="70" spans="1:7" ht="30" x14ac:dyDescent="0.25">
      <c r="A70" s="31" t="s">
        <v>46</v>
      </c>
      <c r="B70" s="46" t="s">
        <v>47</v>
      </c>
      <c r="C70" s="11" t="s">
        <v>152</v>
      </c>
      <c r="D70" s="47">
        <v>4</v>
      </c>
      <c r="E70" s="60">
        <f>580/1000</f>
        <v>0.57999999999999996</v>
      </c>
      <c r="F70" s="60">
        <f>439.655/1000</f>
        <v>0.43965499999999996</v>
      </c>
      <c r="G70" s="71">
        <f t="shared" si="0"/>
        <v>0.140345</v>
      </c>
    </row>
    <row r="71" spans="1:7" ht="45" x14ac:dyDescent="0.25">
      <c r="A71" s="31" t="s">
        <v>46</v>
      </c>
      <c r="B71" s="16" t="s">
        <v>198</v>
      </c>
      <c r="C71" s="24" t="s">
        <v>140</v>
      </c>
      <c r="D71" s="22">
        <v>3</v>
      </c>
      <c r="E71" s="61">
        <v>4.2499999999999998E-4</v>
      </c>
      <c r="F71" s="61">
        <v>4.2499999999999998E-4</v>
      </c>
      <c r="G71" s="71">
        <f t="shared" si="0"/>
        <v>0</v>
      </c>
    </row>
    <row r="72" spans="1:7" ht="45" x14ac:dyDescent="0.25">
      <c r="A72" s="31" t="s">
        <v>46</v>
      </c>
      <c r="B72" s="16" t="s">
        <v>199</v>
      </c>
      <c r="C72" s="24" t="s">
        <v>140</v>
      </c>
      <c r="D72" s="22">
        <v>3</v>
      </c>
      <c r="E72" s="61">
        <v>1E-3</v>
      </c>
      <c r="F72" s="61">
        <v>1E-3</v>
      </c>
      <c r="G72" s="71">
        <f t="shared" si="0"/>
        <v>0</v>
      </c>
    </row>
    <row r="73" spans="1:7" ht="45" x14ac:dyDescent="0.25">
      <c r="A73" s="31" t="s">
        <v>46</v>
      </c>
      <c r="B73" s="16" t="s">
        <v>200</v>
      </c>
      <c r="C73" s="24" t="s">
        <v>140</v>
      </c>
      <c r="D73" s="22">
        <v>3</v>
      </c>
      <c r="E73" s="61">
        <v>3.846E-3</v>
      </c>
      <c r="F73" s="61">
        <v>3.846E-3</v>
      </c>
      <c r="G73" s="71">
        <f t="shared" si="0"/>
        <v>0</v>
      </c>
    </row>
    <row r="74" spans="1:7" x14ac:dyDescent="0.25">
      <c r="A74" s="31" t="s">
        <v>46</v>
      </c>
      <c r="B74" s="19" t="s">
        <v>51</v>
      </c>
      <c r="C74" s="11" t="s">
        <v>51</v>
      </c>
      <c r="D74" s="22">
        <v>8</v>
      </c>
      <c r="E74" s="61">
        <v>0</v>
      </c>
      <c r="F74" s="66">
        <f>11.498/1000</f>
        <v>1.1498E-2</v>
      </c>
      <c r="G74" s="71">
        <f t="shared" si="0"/>
        <v>-1.1498E-2</v>
      </c>
    </row>
    <row r="75" spans="1:7" ht="28.15" customHeight="1" x14ac:dyDescent="0.25">
      <c r="A75" s="11" t="s">
        <v>52</v>
      </c>
      <c r="B75" s="16" t="s">
        <v>53</v>
      </c>
      <c r="C75" s="11" t="s">
        <v>153</v>
      </c>
      <c r="D75" s="34">
        <v>4</v>
      </c>
      <c r="E75" s="68">
        <f>655.173/1000</f>
        <v>0.65517300000000001</v>
      </c>
      <c r="F75" s="60">
        <f>583.711/1000</f>
        <v>0.58371099999999998</v>
      </c>
      <c r="G75" s="71">
        <f t="shared" si="0"/>
        <v>7.1462000000000026E-2</v>
      </c>
    </row>
    <row r="76" spans="1:7" ht="33.75" customHeight="1" x14ac:dyDescent="0.25">
      <c r="A76" s="11" t="s">
        <v>52</v>
      </c>
      <c r="B76" s="16" t="s">
        <v>54</v>
      </c>
      <c r="C76" s="11" t="s">
        <v>153</v>
      </c>
      <c r="D76" s="34">
        <v>4</v>
      </c>
      <c r="E76" s="60">
        <f>336.629/1000</f>
        <v>0.33662900000000001</v>
      </c>
      <c r="F76" s="60">
        <f>213.4/1000</f>
        <v>0.21340000000000001</v>
      </c>
      <c r="G76" s="71">
        <f t="shared" si="0"/>
        <v>0.12322900000000001</v>
      </c>
    </row>
    <row r="77" spans="1:7" ht="60" x14ac:dyDescent="0.25">
      <c r="A77" s="11" t="s">
        <v>52</v>
      </c>
      <c r="B77" s="16" t="s">
        <v>201</v>
      </c>
      <c r="C77" s="11" t="s">
        <v>140</v>
      </c>
      <c r="D77" s="22">
        <v>3</v>
      </c>
      <c r="E77" s="61">
        <v>1.6570000000000001E-3</v>
      </c>
      <c r="F77" s="61">
        <v>1.6570000000000001E-3</v>
      </c>
      <c r="G77" s="71">
        <f t="shared" si="0"/>
        <v>0</v>
      </c>
    </row>
    <row r="78" spans="1:7" ht="60" x14ac:dyDescent="0.25">
      <c r="A78" s="11" t="s">
        <v>52</v>
      </c>
      <c r="B78" s="16" t="s">
        <v>202</v>
      </c>
      <c r="C78" s="11" t="s">
        <v>140</v>
      </c>
      <c r="D78" s="22">
        <v>3</v>
      </c>
      <c r="E78" s="61">
        <v>3.8699999999999997E-4</v>
      </c>
      <c r="F78" s="61">
        <v>3.8699999999999997E-4</v>
      </c>
      <c r="G78" s="71">
        <f t="shared" si="0"/>
        <v>0</v>
      </c>
    </row>
    <row r="79" spans="1:7" ht="45" x14ac:dyDescent="0.25">
      <c r="A79" s="11" t="s">
        <v>55</v>
      </c>
      <c r="B79" s="16" t="s">
        <v>56</v>
      </c>
      <c r="C79" s="11" t="s">
        <v>153</v>
      </c>
      <c r="D79" s="34">
        <v>5</v>
      </c>
      <c r="E79" s="67">
        <v>8.5000000000000006E-2</v>
      </c>
      <c r="F79" s="61">
        <v>6.4388000000000001E-2</v>
      </c>
      <c r="G79" s="71">
        <f t="shared" si="0"/>
        <v>2.0612000000000005E-2</v>
      </c>
    </row>
    <row r="80" spans="1:7" ht="45" x14ac:dyDescent="0.25">
      <c r="A80" s="11" t="s">
        <v>55</v>
      </c>
      <c r="B80" s="10" t="s">
        <v>57</v>
      </c>
      <c r="C80" s="24" t="s">
        <v>140</v>
      </c>
      <c r="D80" s="22">
        <v>3</v>
      </c>
      <c r="E80" s="61">
        <v>3.0100000000000001E-3</v>
      </c>
      <c r="F80" s="61">
        <v>3.0100000000000001E-3</v>
      </c>
      <c r="G80" s="71">
        <f t="shared" si="0"/>
        <v>0</v>
      </c>
    </row>
    <row r="81" spans="1:7" ht="60" x14ac:dyDescent="0.25">
      <c r="A81" s="11" t="s">
        <v>55</v>
      </c>
      <c r="B81" s="25" t="s">
        <v>177</v>
      </c>
      <c r="C81" s="24" t="s">
        <v>140</v>
      </c>
      <c r="D81" s="22">
        <v>3</v>
      </c>
      <c r="E81" s="61">
        <v>1.0330000000000001E-3</v>
      </c>
      <c r="F81" s="61">
        <v>1.0330000000000001E-3</v>
      </c>
      <c r="G81" s="71">
        <f t="shared" si="0"/>
        <v>0</v>
      </c>
    </row>
    <row r="82" spans="1:7" ht="26.25" customHeight="1" x14ac:dyDescent="0.25">
      <c r="A82" s="11" t="s">
        <v>55</v>
      </c>
      <c r="B82" s="16" t="s">
        <v>51</v>
      </c>
      <c r="C82" s="11" t="s">
        <v>51</v>
      </c>
      <c r="D82" s="22">
        <v>8</v>
      </c>
      <c r="E82" s="67">
        <v>0</v>
      </c>
      <c r="F82" s="66">
        <f>9.996/1000</f>
        <v>9.9959999999999997E-3</v>
      </c>
      <c r="G82" s="71">
        <f t="shared" si="0"/>
        <v>-9.9959999999999997E-3</v>
      </c>
    </row>
    <row r="83" spans="1:7" ht="60" x14ac:dyDescent="0.25">
      <c r="A83" s="18" t="s">
        <v>58</v>
      </c>
      <c r="B83" s="10" t="s">
        <v>59</v>
      </c>
      <c r="C83" s="11" t="s">
        <v>140</v>
      </c>
      <c r="D83" s="22">
        <v>3</v>
      </c>
      <c r="E83" s="61">
        <v>1E-3</v>
      </c>
      <c r="F83" s="61">
        <v>1E-3</v>
      </c>
      <c r="G83" s="71">
        <f t="shared" si="0"/>
        <v>0</v>
      </c>
    </row>
    <row r="84" spans="1:7" ht="30" x14ac:dyDescent="0.25">
      <c r="A84" s="11" t="s">
        <v>60</v>
      </c>
      <c r="B84" s="19" t="s">
        <v>61</v>
      </c>
      <c r="C84" s="11" t="s">
        <v>154</v>
      </c>
      <c r="D84" s="22">
        <v>4</v>
      </c>
      <c r="E84" s="62">
        <v>0</v>
      </c>
      <c r="F84" s="60">
        <f>31.771/1000</f>
        <v>3.1771000000000001E-2</v>
      </c>
      <c r="G84" s="71">
        <f>E84-F84</f>
        <v>-3.1771000000000001E-2</v>
      </c>
    </row>
    <row r="85" spans="1:7" x14ac:dyDescent="0.25">
      <c r="A85" s="11" t="s">
        <v>60</v>
      </c>
      <c r="B85" s="19" t="s">
        <v>51</v>
      </c>
      <c r="C85" s="11" t="s">
        <v>51</v>
      </c>
      <c r="D85" s="22">
        <v>8</v>
      </c>
      <c r="E85" s="65">
        <v>0</v>
      </c>
      <c r="F85" s="60">
        <f>11.93/1000</f>
        <v>1.193E-2</v>
      </c>
      <c r="G85" s="71">
        <f t="shared" si="0"/>
        <v>-1.193E-2</v>
      </c>
    </row>
    <row r="86" spans="1:7" ht="30" x14ac:dyDescent="0.25">
      <c r="A86" s="11" t="s">
        <v>62</v>
      </c>
      <c r="B86" s="19" t="s">
        <v>61</v>
      </c>
      <c r="C86" s="11" t="s">
        <v>154</v>
      </c>
      <c r="D86" s="22">
        <v>5</v>
      </c>
      <c r="E86" s="65">
        <v>0</v>
      </c>
      <c r="F86" s="66">
        <f>96.756/1000</f>
        <v>9.6755999999999995E-2</v>
      </c>
      <c r="G86" s="71">
        <f t="shared" si="0"/>
        <v>-9.6755999999999995E-2</v>
      </c>
    </row>
    <row r="87" spans="1:7" x14ac:dyDescent="0.25">
      <c r="A87" s="11" t="s">
        <v>62</v>
      </c>
      <c r="B87" s="19" t="s">
        <v>51</v>
      </c>
      <c r="C87" s="11" t="s">
        <v>51</v>
      </c>
      <c r="D87" s="22">
        <v>8</v>
      </c>
      <c r="E87" s="65">
        <v>0</v>
      </c>
      <c r="F87" s="61">
        <f>16.317/1000</f>
        <v>1.6317000000000002E-2</v>
      </c>
      <c r="G87" s="71">
        <f t="shared" si="0"/>
        <v>-1.6317000000000002E-2</v>
      </c>
    </row>
    <row r="88" spans="1:7" ht="30" x14ac:dyDescent="0.25">
      <c r="A88" s="11" t="s">
        <v>63</v>
      </c>
      <c r="B88" s="19" t="s">
        <v>61</v>
      </c>
      <c r="C88" s="11" t="s">
        <v>154</v>
      </c>
      <c r="D88" s="22">
        <v>5</v>
      </c>
      <c r="E88" s="65">
        <v>0</v>
      </c>
      <c r="F88" s="60">
        <f>7.768/1000</f>
        <v>7.7679999999999997E-3</v>
      </c>
      <c r="G88" s="71">
        <f t="shared" ref="G88:G99" si="1">E88-F88</f>
        <v>-7.7679999999999997E-3</v>
      </c>
    </row>
    <row r="89" spans="1:7" x14ac:dyDescent="0.25">
      <c r="A89" s="11" t="s">
        <v>63</v>
      </c>
      <c r="B89" s="26" t="s">
        <v>51</v>
      </c>
      <c r="C89" s="24" t="s">
        <v>51</v>
      </c>
      <c r="D89" s="23">
        <v>8</v>
      </c>
      <c r="E89" s="73">
        <v>0</v>
      </c>
      <c r="F89" s="60">
        <f>7.768/1000</f>
        <v>7.7679999999999997E-3</v>
      </c>
      <c r="G89" s="71">
        <f t="shared" si="1"/>
        <v>-7.7679999999999997E-3</v>
      </c>
    </row>
    <row r="90" spans="1:7" ht="15" customHeight="1" x14ac:dyDescent="0.25">
      <c r="A90" s="30" t="s">
        <v>64</v>
      </c>
      <c r="B90" s="25" t="s">
        <v>65</v>
      </c>
      <c r="C90" s="12" t="s">
        <v>155</v>
      </c>
      <c r="D90" s="34">
        <v>4</v>
      </c>
      <c r="E90" s="68">
        <f>1708.827/1000</f>
        <v>1.7088270000000001</v>
      </c>
      <c r="F90" s="60">
        <f>1196.24/1000</f>
        <v>1.19624</v>
      </c>
      <c r="G90" s="71">
        <f t="shared" si="1"/>
        <v>0.51258700000000013</v>
      </c>
    </row>
    <row r="91" spans="1:7" ht="45" x14ac:dyDescent="0.25">
      <c r="A91" s="30" t="s">
        <v>64</v>
      </c>
      <c r="B91" s="25" t="s">
        <v>69</v>
      </c>
      <c r="C91" s="12" t="s">
        <v>155</v>
      </c>
      <c r="D91" s="34">
        <v>4</v>
      </c>
      <c r="E91" s="60">
        <f>387.053/1000</f>
        <v>0.38705299999999998</v>
      </c>
      <c r="F91" s="60">
        <f>349.026/1000</f>
        <v>0.349026</v>
      </c>
      <c r="G91" s="71">
        <f t="shared" si="1"/>
        <v>3.8026999999999977E-2</v>
      </c>
    </row>
    <row r="92" spans="1:7" ht="45" x14ac:dyDescent="0.25">
      <c r="A92" s="30" t="s">
        <v>64</v>
      </c>
      <c r="B92" s="25" t="s">
        <v>66</v>
      </c>
      <c r="C92" s="29" t="s">
        <v>155</v>
      </c>
      <c r="D92" s="34">
        <v>4</v>
      </c>
      <c r="E92" s="60">
        <f>782.103/1000</f>
        <v>0.78210299999999999</v>
      </c>
      <c r="F92" s="60">
        <f>623.366/1000</f>
        <v>0.62336599999999998</v>
      </c>
      <c r="G92" s="71">
        <f t="shared" si="1"/>
        <v>0.15873700000000002</v>
      </c>
    </row>
    <row r="93" spans="1:7" ht="45" x14ac:dyDescent="0.25">
      <c r="A93" s="30" t="s">
        <v>64</v>
      </c>
      <c r="B93" s="25" t="s">
        <v>71</v>
      </c>
      <c r="C93" s="29" t="s">
        <v>155</v>
      </c>
      <c r="D93" s="34">
        <v>3</v>
      </c>
      <c r="E93" s="60">
        <f>233.298/1000</f>
        <v>0.23329800000000001</v>
      </c>
      <c r="F93" s="60">
        <f>134.657/1000</f>
        <v>0.134657</v>
      </c>
      <c r="G93" s="71">
        <f t="shared" si="1"/>
        <v>9.8641000000000006E-2</v>
      </c>
    </row>
    <row r="94" spans="1:7" ht="45" x14ac:dyDescent="0.25">
      <c r="A94" s="30" t="s">
        <v>64</v>
      </c>
      <c r="B94" s="25" t="s">
        <v>67</v>
      </c>
      <c r="C94" s="29" t="s">
        <v>155</v>
      </c>
      <c r="D94" s="34">
        <v>4</v>
      </c>
      <c r="E94" s="60">
        <f>733.162/1000</f>
        <v>0.73316199999999998</v>
      </c>
      <c r="F94" s="60">
        <f>664.746/1000</f>
        <v>0.66474599999999995</v>
      </c>
      <c r="G94" s="71">
        <f>E94-F94</f>
        <v>6.8416000000000032E-2</v>
      </c>
    </row>
    <row r="95" spans="1:7" ht="45" x14ac:dyDescent="0.25">
      <c r="A95" s="30" t="s">
        <v>64</v>
      </c>
      <c r="B95" s="25" t="s">
        <v>68</v>
      </c>
      <c r="C95" s="29" t="s">
        <v>155</v>
      </c>
      <c r="D95" s="34">
        <v>4</v>
      </c>
      <c r="E95" s="60">
        <f>453.3/1000</f>
        <v>0.45330000000000004</v>
      </c>
      <c r="F95" s="60">
        <f>399.162/1000</f>
        <v>0.39916199999999996</v>
      </c>
      <c r="G95" s="71">
        <f t="shared" si="1"/>
        <v>5.4138000000000075E-2</v>
      </c>
    </row>
    <row r="96" spans="1:7" ht="45" x14ac:dyDescent="0.25">
      <c r="A96" s="30" t="s">
        <v>64</v>
      </c>
      <c r="B96" s="25" t="s">
        <v>237</v>
      </c>
      <c r="C96" s="29" t="s">
        <v>155</v>
      </c>
      <c r="D96" s="34">
        <v>4</v>
      </c>
      <c r="E96" s="60">
        <f>305.76/1000</f>
        <v>0.30575999999999998</v>
      </c>
      <c r="F96" s="60">
        <f>291.074/1000</f>
        <v>0.291074</v>
      </c>
      <c r="G96" s="71">
        <f t="shared" si="1"/>
        <v>1.4685999999999977E-2</v>
      </c>
    </row>
    <row r="97" spans="1:7" ht="45" x14ac:dyDescent="0.25">
      <c r="A97" s="30" t="s">
        <v>64</v>
      </c>
      <c r="B97" s="25" t="s">
        <v>70</v>
      </c>
      <c r="C97" s="29" t="s">
        <v>155</v>
      </c>
      <c r="D97" s="34">
        <v>4</v>
      </c>
      <c r="E97" s="60">
        <f>466.661/1000</f>
        <v>0.46666099999999999</v>
      </c>
      <c r="F97" s="60">
        <f>398.919/1000</f>
        <v>0.39891899999999997</v>
      </c>
      <c r="G97" s="71">
        <f t="shared" si="1"/>
        <v>6.7742000000000024E-2</v>
      </c>
    </row>
    <row r="98" spans="1:7" x14ac:dyDescent="0.25">
      <c r="A98" s="30" t="s">
        <v>64</v>
      </c>
      <c r="B98" s="19" t="s">
        <v>72</v>
      </c>
      <c r="C98" s="11" t="s">
        <v>72</v>
      </c>
      <c r="D98" s="34">
        <v>8</v>
      </c>
      <c r="E98" s="67">
        <v>0.14549999999999999</v>
      </c>
      <c r="F98" s="60">
        <f>145.486/1000</f>
        <v>0.14548599999999998</v>
      </c>
      <c r="G98" s="71">
        <f t="shared" si="1"/>
        <v>1.4000000000014001E-5</v>
      </c>
    </row>
    <row r="99" spans="1:7" ht="30" x14ac:dyDescent="0.25">
      <c r="A99" s="30" t="s">
        <v>64</v>
      </c>
      <c r="B99" s="25" t="s">
        <v>78</v>
      </c>
      <c r="C99" s="11" t="s">
        <v>146</v>
      </c>
      <c r="D99" s="34">
        <v>6</v>
      </c>
      <c r="E99" s="61">
        <v>3.3999999999999998E-3</v>
      </c>
      <c r="F99" s="60">
        <f>2.91/1000</f>
        <v>2.9100000000000003E-3</v>
      </c>
      <c r="G99" s="71">
        <f t="shared" si="1"/>
        <v>4.8999999999999955E-4</v>
      </c>
    </row>
    <row r="100" spans="1:7" ht="45" x14ac:dyDescent="0.25">
      <c r="A100" s="30" t="s">
        <v>64</v>
      </c>
      <c r="B100" s="25" t="s">
        <v>80</v>
      </c>
      <c r="C100" s="11" t="s">
        <v>146</v>
      </c>
      <c r="D100" s="34">
        <v>6</v>
      </c>
      <c r="E100" s="61">
        <v>2.5000000000000001E-3</v>
      </c>
      <c r="F100" s="60">
        <f>2.312/1000</f>
        <v>2.3119999999999998E-3</v>
      </c>
      <c r="G100" s="71">
        <f>E100-F100</f>
        <v>1.8800000000000023E-4</v>
      </c>
    </row>
    <row r="101" spans="1:7" ht="30" x14ac:dyDescent="0.25">
      <c r="A101" s="30" t="s">
        <v>64</v>
      </c>
      <c r="B101" s="25" t="s">
        <v>73</v>
      </c>
      <c r="C101" s="11" t="s">
        <v>146</v>
      </c>
      <c r="D101" s="34">
        <v>6</v>
      </c>
      <c r="E101" s="61">
        <v>2.8000000000000001E-2</v>
      </c>
      <c r="F101" s="61">
        <v>2.4181000000000001E-2</v>
      </c>
      <c r="G101" s="71">
        <f t="shared" ref="G101:G113" si="2">E101-F101</f>
        <v>3.8189999999999995E-3</v>
      </c>
    </row>
    <row r="102" spans="1:7" ht="30" x14ac:dyDescent="0.25">
      <c r="A102" s="30" t="s">
        <v>64</v>
      </c>
      <c r="B102" s="25" t="s">
        <v>74</v>
      </c>
      <c r="C102" s="11" t="s">
        <v>146</v>
      </c>
      <c r="D102" s="34">
        <v>6</v>
      </c>
      <c r="E102" s="61">
        <v>8.3999999999999995E-3</v>
      </c>
      <c r="F102" s="60">
        <f>6.51/1000</f>
        <v>6.5100000000000002E-3</v>
      </c>
      <c r="G102" s="71">
        <f t="shared" si="2"/>
        <v>1.8899999999999993E-3</v>
      </c>
    </row>
    <row r="103" spans="1:7" ht="30" x14ac:dyDescent="0.25">
      <c r="A103" s="30" t="s">
        <v>64</v>
      </c>
      <c r="B103" s="25" t="s">
        <v>76</v>
      </c>
      <c r="C103" s="11" t="s">
        <v>146</v>
      </c>
      <c r="D103" s="34">
        <v>5</v>
      </c>
      <c r="E103" s="61">
        <v>6.4999999999999997E-3</v>
      </c>
      <c r="F103" s="60">
        <f>2.267/1000</f>
        <v>2.2669999999999999E-3</v>
      </c>
      <c r="G103" s="71">
        <f t="shared" si="2"/>
        <v>4.2329999999999998E-3</v>
      </c>
    </row>
    <row r="104" spans="1:7" ht="30" x14ac:dyDescent="0.25">
      <c r="A104" s="30" t="s">
        <v>64</v>
      </c>
      <c r="B104" s="25" t="s">
        <v>82</v>
      </c>
      <c r="C104" s="11" t="s">
        <v>146</v>
      </c>
      <c r="D104" s="34">
        <v>6</v>
      </c>
      <c r="E104" s="61">
        <v>3.3999999999999998E-3</v>
      </c>
      <c r="F104" s="60">
        <f>1.733/1000</f>
        <v>1.7330000000000002E-3</v>
      </c>
      <c r="G104" s="71">
        <f t="shared" si="2"/>
        <v>1.6669999999999996E-3</v>
      </c>
    </row>
    <row r="105" spans="1:7" ht="30" x14ac:dyDescent="0.25">
      <c r="A105" s="30" t="s">
        <v>64</v>
      </c>
      <c r="B105" s="25" t="s">
        <v>77</v>
      </c>
      <c r="C105" s="11" t="s">
        <v>146</v>
      </c>
      <c r="D105" s="34">
        <v>6</v>
      </c>
      <c r="E105" s="61">
        <v>4.1999999999999997E-3</v>
      </c>
      <c r="F105" s="60">
        <f>3.534/1000</f>
        <v>3.5339999999999998E-3</v>
      </c>
      <c r="G105" s="71">
        <f t="shared" si="2"/>
        <v>6.6599999999999993E-4</v>
      </c>
    </row>
    <row r="106" spans="1:7" ht="30" x14ac:dyDescent="0.25">
      <c r="A106" s="30" t="s">
        <v>64</v>
      </c>
      <c r="B106" s="25" t="s">
        <v>81</v>
      </c>
      <c r="C106" s="11" t="s">
        <v>146</v>
      </c>
      <c r="D106" s="34">
        <v>6</v>
      </c>
      <c r="E106" s="61">
        <v>3.5000000000000001E-3</v>
      </c>
      <c r="F106" s="60">
        <f>1.666/1000</f>
        <v>1.6659999999999999E-3</v>
      </c>
      <c r="G106" s="71">
        <f t="shared" si="2"/>
        <v>1.8340000000000001E-3</v>
      </c>
    </row>
    <row r="107" spans="1:7" ht="30" x14ac:dyDescent="0.25">
      <c r="A107" s="30" t="s">
        <v>64</v>
      </c>
      <c r="B107" s="25" t="s">
        <v>75</v>
      </c>
      <c r="C107" s="11" t="s">
        <v>146</v>
      </c>
      <c r="D107" s="34">
        <v>6</v>
      </c>
      <c r="E107" s="61">
        <v>8.9999999999999993E-3</v>
      </c>
      <c r="F107" s="60">
        <f>6.942/1000</f>
        <v>6.9420000000000003E-3</v>
      </c>
      <c r="G107" s="71">
        <f t="shared" si="2"/>
        <v>2.0579999999999991E-3</v>
      </c>
    </row>
    <row r="108" spans="1:7" ht="30" x14ac:dyDescent="0.25">
      <c r="A108" s="30" t="s">
        <v>64</v>
      </c>
      <c r="B108" s="25" t="s">
        <v>79</v>
      </c>
      <c r="C108" s="11" t="s">
        <v>146</v>
      </c>
      <c r="D108" s="34">
        <v>6</v>
      </c>
      <c r="E108" s="61">
        <v>4.3E-3</v>
      </c>
      <c r="F108" s="60">
        <f>3.474/1000</f>
        <v>3.4740000000000001E-3</v>
      </c>
      <c r="G108" s="71">
        <f t="shared" si="2"/>
        <v>8.2599999999999991E-4</v>
      </c>
    </row>
    <row r="109" spans="1:7" ht="30" x14ac:dyDescent="0.25">
      <c r="A109" s="30" t="s">
        <v>64</v>
      </c>
      <c r="B109" s="19" t="s">
        <v>83</v>
      </c>
      <c r="C109" s="11" t="s">
        <v>156</v>
      </c>
      <c r="D109" s="34">
        <v>5</v>
      </c>
      <c r="E109" s="67">
        <v>6.2E-2</v>
      </c>
      <c r="F109" s="61">
        <v>4.6239000000000002E-2</v>
      </c>
      <c r="G109" s="71">
        <f t="shared" si="2"/>
        <v>1.5760999999999997E-2</v>
      </c>
    </row>
    <row r="110" spans="1:7" ht="45" x14ac:dyDescent="0.25">
      <c r="A110" s="30" t="s">
        <v>64</v>
      </c>
      <c r="B110" s="19" t="s">
        <v>203</v>
      </c>
      <c r="C110" s="11" t="s">
        <v>140</v>
      </c>
      <c r="D110" s="21">
        <v>3</v>
      </c>
      <c r="E110" s="61">
        <v>6.3829999999999998E-3</v>
      </c>
      <c r="F110" s="61">
        <v>6.3829999999999998E-3</v>
      </c>
      <c r="G110" s="71">
        <f t="shared" si="2"/>
        <v>0</v>
      </c>
    </row>
    <row r="111" spans="1:7" ht="45" x14ac:dyDescent="0.25">
      <c r="A111" s="30" t="s">
        <v>64</v>
      </c>
      <c r="B111" s="19" t="s">
        <v>204</v>
      </c>
      <c r="C111" s="11" t="s">
        <v>140</v>
      </c>
      <c r="D111" s="21">
        <v>3</v>
      </c>
      <c r="E111" s="61">
        <v>7.6E-3</v>
      </c>
      <c r="F111" s="61">
        <v>7.6E-3</v>
      </c>
      <c r="G111" s="71">
        <f t="shared" si="2"/>
        <v>0</v>
      </c>
    </row>
    <row r="112" spans="1:7" ht="45" x14ac:dyDescent="0.25">
      <c r="A112" s="30" t="s">
        <v>64</v>
      </c>
      <c r="B112" s="19" t="s">
        <v>205</v>
      </c>
      <c r="C112" s="11" t="s">
        <v>140</v>
      </c>
      <c r="D112" s="21">
        <v>3</v>
      </c>
      <c r="E112" s="61">
        <v>1.225E-3</v>
      </c>
      <c r="F112" s="61">
        <v>1.225E-3</v>
      </c>
      <c r="G112" s="71">
        <f t="shared" si="2"/>
        <v>0</v>
      </c>
    </row>
    <row r="113" spans="1:7" ht="30" x14ac:dyDescent="0.25">
      <c r="A113" s="30" t="s">
        <v>64</v>
      </c>
      <c r="B113" s="25" t="s">
        <v>87</v>
      </c>
      <c r="C113" s="11" t="s">
        <v>180</v>
      </c>
      <c r="D113" s="34">
        <v>7</v>
      </c>
      <c r="E113" s="62">
        <v>8.9999999999999998E-4</v>
      </c>
      <c r="F113" s="60">
        <f>1.384/1000</f>
        <v>1.3839999999999998E-3</v>
      </c>
      <c r="G113" s="71">
        <f t="shared" si="2"/>
        <v>-4.8399999999999984E-4</v>
      </c>
    </row>
    <row r="114" spans="1:7" ht="30" x14ac:dyDescent="0.25">
      <c r="A114" s="30" t="s">
        <v>64</v>
      </c>
      <c r="B114" s="25" t="s">
        <v>84</v>
      </c>
      <c r="C114" s="11" t="s">
        <v>180</v>
      </c>
      <c r="D114" s="34">
        <v>6</v>
      </c>
      <c r="E114" s="65">
        <v>3.2000000000000002E-3</v>
      </c>
      <c r="F114" s="60">
        <f>4.573/1000</f>
        <v>4.5730000000000007E-3</v>
      </c>
      <c r="G114" s="71">
        <f>E114-F114</f>
        <v>-1.3730000000000005E-3</v>
      </c>
    </row>
    <row r="115" spans="1:7" ht="45" x14ac:dyDescent="0.25">
      <c r="A115" s="30" t="s">
        <v>64</v>
      </c>
      <c r="B115" s="25" t="s">
        <v>86</v>
      </c>
      <c r="C115" s="11" t="s">
        <v>180</v>
      </c>
      <c r="D115" s="34">
        <v>7</v>
      </c>
      <c r="E115" s="62">
        <v>1.1999999999999999E-3</v>
      </c>
      <c r="F115" s="60">
        <f>1.106/1000</f>
        <v>1.106E-3</v>
      </c>
      <c r="G115" s="71">
        <f t="shared" ref="G115:G179" si="3">E115-F115</f>
        <v>9.39999999999999E-5</v>
      </c>
    </row>
    <row r="116" spans="1:7" ht="41.25" customHeight="1" x14ac:dyDescent="0.25">
      <c r="A116" s="30" t="s">
        <v>64</v>
      </c>
      <c r="B116" s="25" t="s">
        <v>85</v>
      </c>
      <c r="C116" s="11" t="s">
        <v>180</v>
      </c>
      <c r="D116" s="34">
        <v>7</v>
      </c>
      <c r="E116" s="62">
        <v>1.1999999999999999E-3</v>
      </c>
      <c r="F116" s="60">
        <f>1.661/1000</f>
        <v>1.6609999999999999E-3</v>
      </c>
      <c r="G116" s="71">
        <f t="shared" si="3"/>
        <v>-4.6100000000000004E-4</v>
      </c>
    </row>
    <row r="117" spans="1:7" ht="27" customHeight="1" x14ac:dyDescent="0.25">
      <c r="A117" s="30" t="s">
        <v>64</v>
      </c>
      <c r="B117" s="19" t="s">
        <v>88</v>
      </c>
      <c r="C117" s="11" t="s">
        <v>157</v>
      </c>
      <c r="D117" s="34">
        <v>6</v>
      </c>
      <c r="E117" s="65">
        <v>7.1999999999999998E-3</v>
      </c>
      <c r="F117" s="61">
        <v>7.1999999999999998E-3</v>
      </c>
      <c r="G117" s="71">
        <f t="shared" si="3"/>
        <v>0</v>
      </c>
    </row>
    <row r="118" spans="1:7" ht="30" x14ac:dyDescent="0.25">
      <c r="A118" s="30" t="s">
        <v>64</v>
      </c>
      <c r="B118" s="25" t="s">
        <v>90</v>
      </c>
      <c r="C118" s="11" t="s">
        <v>180</v>
      </c>
      <c r="D118" s="34">
        <v>6</v>
      </c>
      <c r="E118" s="62">
        <v>1.15E-3</v>
      </c>
      <c r="F118" s="60">
        <f>1.188/1000</f>
        <v>1.188E-3</v>
      </c>
      <c r="G118" s="71">
        <f t="shared" si="3"/>
        <v>-3.8000000000000056E-5</v>
      </c>
    </row>
    <row r="119" spans="1:7" ht="30" x14ac:dyDescent="0.25">
      <c r="A119" s="30" t="s">
        <v>64</v>
      </c>
      <c r="B119" s="25" t="s">
        <v>89</v>
      </c>
      <c r="C119" s="11" t="s">
        <v>180</v>
      </c>
      <c r="D119" s="34">
        <v>6</v>
      </c>
      <c r="E119" s="65">
        <v>1.6000000000000001E-3</v>
      </c>
      <c r="F119" s="60">
        <f>4.745/1000</f>
        <v>4.7450000000000001E-3</v>
      </c>
      <c r="G119" s="71">
        <f t="shared" si="3"/>
        <v>-3.1450000000000002E-3</v>
      </c>
    </row>
    <row r="120" spans="1:7" ht="45" x14ac:dyDescent="0.25">
      <c r="A120" s="30" t="s">
        <v>64</v>
      </c>
      <c r="B120" s="25" t="s">
        <v>206</v>
      </c>
      <c r="C120" s="11" t="s">
        <v>180</v>
      </c>
      <c r="D120" s="34">
        <v>6</v>
      </c>
      <c r="E120" s="60">
        <f>1.15/1000</f>
        <v>1.15E-3</v>
      </c>
      <c r="F120" s="60">
        <f>7.474/1000</f>
        <v>7.4740000000000006E-3</v>
      </c>
      <c r="G120" s="71">
        <f t="shared" si="3"/>
        <v>-6.3240000000000006E-3</v>
      </c>
    </row>
    <row r="121" spans="1:7" x14ac:dyDescent="0.25">
      <c r="A121" s="30" t="s">
        <v>64</v>
      </c>
      <c r="B121" s="19" t="s">
        <v>91</v>
      </c>
      <c r="C121" s="11" t="s">
        <v>238</v>
      </c>
      <c r="D121" s="34">
        <v>6</v>
      </c>
      <c r="E121" s="65">
        <v>6.0000000000000001E-3</v>
      </c>
      <c r="F121" s="65">
        <v>6.0000000000000001E-3</v>
      </c>
      <c r="G121" s="59">
        <f t="shared" si="3"/>
        <v>0</v>
      </c>
    </row>
    <row r="122" spans="1:7" ht="36" customHeight="1" x14ac:dyDescent="0.25">
      <c r="A122" s="30" t="s">
        <v>64</v>
      </c>
      <c r="B122" s="25" t="s">
        <v>94</v>
      </c>
      <c r="C122" s="11" t="s">
        <v>158</v>
      </c>
      <c r="D122" s="34">
        <v>7</v>
      </c>
      <c r="E122" s="60">
        <f>0.08/1000</f>
        <v>8.0000000000000007E-5</v>
      </c>
      <c r="F122" s="61">
        <v>5.0000000000000001E-4</v>
      </c>
      <c r="G122" s="71">
        <f t="shared" si="3"/>
        <v>-4.2000000000000002E-4</v>
      </c>
    </row>
    <row r="123" spans="1:7" ht="30" x14ac:dyDescent="0.25">
      <c r="A123" s="30" t="s">
        <v>64</v>
      </c>
      <c r="B123" s="25" t="s">
        <v>92</v>
      </c>
      <c r="C123" s="11" t="s">
        <v>158</v>
      </c>
      <c r="D123" s="34">
        <v>6</v>
      </c>
      <c r="E123" s="65">
        <v>2.3999999999999998E-3</v>
      </c>
      <c r="F123" s="61">
        <v>4.1830000000000001E-3</v>
      </c>
      <c r="G123" s="71">
        <f t="shared" si="3"/>
        <v>-1.7830000000000003E-3</v>
      </c>
    </row>
    <row r="124" spans="1:7" ht="30" x14ac:dyDescent="0.25">
      <c r="A124" s="30" t="s">
        <v>64</v>
      </c>
      <c r="B124" s="25" t="s">
        <v>95</v>
      </c>
      <c r="C124" s="11" t="s">
        <v>161</v>
      </c>
      <c r="D124" s="34">
        <v>7</v>
      </c>
      <c r="E124" s="65">
        <v>1.658E-3</v>
      </c>
      <c r="F124" s="61">
        <v>0</v>
      </c>
      <c r="G124" s="71">
        <f t="shared" si="3"/>
        <v>1.658E-3</v>
      </c>
    </row>
    <row r="125" spans="1:7" ht="30" x14ac:dyDescent="0.25">
      <c r="A125" s="30" t="s">
        <v>64</v>
      </c>
      <c r="B125" s="25" t="s">
        <v>93</v>
      </c>
      <c r="C125" s="12" t="s">
        <v>207</v>
      </c>
      <c r="D125" s="34">
        <v>7</v>
      </c>
      <c r="E125" s="65">
        <v>1E-3</v>
      </c>
      <c r="F125" s="61">
        <v>1E-3</v>
      </c>
      <c r="G125" s="71">
        <f t="shared" si="3"/>
        <v>0</v>
      </c>
    </row>
    <row r="126" spans="1:7" x14ac:dyDescent="0.25">
      <c r="A126" s="30" t="s">
        <v>64</v>
      </c>
      <c r="B126" s="19" t="s">
        <v>96</v>
      </c>
      <c r="C126" s="12" t="s">
        <v>159</v>
      </c>
      <c r="D126" s="34">
        <v>6</v>
      </c>
      <c r="E126" s="65">
        <v>3.0000000000000001E-3</v>
      </c>
      <c r="F126" s="61">
        <v>2.9849999999999998E-3</v>
      </c>
      <c r="G126" s="71">
        <f t="shared" si="3"/>
        <v>1.5000000000000256E-5</v>
      </c>
    </row>
    <row r="127" spans="1:7" ht="60" x14ac:dyDescent="0.25">
      <c r="A127" s="30" t="s">
        <v>64</v>
      </c>
      <c r="B127" s="25" t="s">
        <v>97</v>
      </c>
      <c r="C127" s="11" t="s">
        <v>180</v>
      </c>
      <c r="D127" s="34">
        <v>6</v>
      </c>
      <c r="E127" s="65">
        <v>7.1999999999999998E-3</v>
      </c>
      <c r="F127" s="61">
        <v>2.9629999999999999E-3</v>
      </c>
      <c r="G127" s="71">
        <f t="shared" si="3"/>
        <v>4.2369999999999994E-3</v>
      </c>
    </row>
    <row r="128" spans="1:7" ht="30" x14ac:dyDescent="0.25">
      <c r="A128" s="30" t="s">
        <v>64</v>
      </c>
      <c r="B128" s="25" t="s">
        <v>98</v>
      </c>
      <c r="C128" s="11" t="s">
        <v>180</v>
      </c>
      <c r="D128" s="34">
        <v>6</v>
      </c>
      <c r="E128" s="73">
        <v>5.0000000000000001E-3</v>
      </c>
      <c r="F128" s="60">
        <f>3.894/1000</f>
        <v>3.8940000000000003E-3</v>
      </c>
      <c r="G128" s="71">
        <f t="shared" si="3"/>
        <v>1.1059999999999998E-3</v>
      </c>
    </row>
    <row r="129" spans="1:7" ht="45" x14ac:dyDescent="0.25">
      <c r="A129" s="30" t="s">
        <v>64</v>
      </c>
      <c r="B129" s="25" t="s">
        <v>227</v>
      </c>
      <c r="C129" s="11" t="s">
        <v>180</v>
      </c>
      <c r="D129" s="34">
        <v>6</v>
      </c>
      <c r="E129" s="61">
        <v>3.0000000000000001E-3</v>
      </c>
      <c r="F129" s="60">
        <f>1.151/1000</f>
        <v>1.1510000000000001E-3</v>
      </c>
      <c r="G129" s="71">
        <f t="shared" si="3"/>
        <v>1.8489999999999999E-3</v>
      </c>
    </row>
    <row r="130" spans="1:7" x14ac:dyDescent="0.25">
      <c r="A130" s="30" t="s">
        <v>64</v>
      </c>
      <c r="B130" s="19" t="s">
        <v>99</v>
      </c>
      <c r="C130" s="12" t="s">
        <v>160</v>
      </c>
      <c r="D130" s="34">
        <v>6</v>
      </c>
      <c r="E130" s="62">
        <v>3.2000000000000002E-3</v>
      </c>
      <c r="F130" s="60">
        <f>3.939/1000</f>
        <v>3.9389999999999998E-3</v>
      </c>
      <c r="G130" s="71">
        <f t="shared" si="3"/>
        <v>-7.3899999999999964E-4</v>
      </c>
    </row>
    <row r="131" spans="1:7" ht="30" x14ac:dyDescent="0.25">
      <c r="A131" s="30" t="s">
        <v>64</v>
      </c>
      <c r="B131" s="25" t="s">
        <v>102</v>
      </c>
      <c r="C131" s="11" t="s">
        <v>161</v>
      </c>
      <c r="D131" s="34">
        <v>6</v>
      </c>
      <c r="E131" s="65">
        <v>1.658E-3</v>
      </c>
      <c r="F131" s="61">
        <v>0</v>
      </c>
      <c r="G131" s="71">
        <f t="shared" si="3"/>
        <v>1.658E-3</v>
      </c>
    </row>
    <row r="132" spans="1:7" ht="30" x14ac:dyDescent="0.25">
      <c r="A132" s="30" t="s">
        <v>64</v>
      </c>
      <c r="B132" s="25" t="s">
        <v>100</v>
      </c>
      <c r="C132" s="11" t="s">
        <v>161</v>
      </c>
      <c r="D132" s="34">
        <v>7</v>
      </c>
      <c r="E132" s="65">
        <v>7.7200000000000001E-4</v>
      </c>
      <c r="F132" s="60">
        <f>4.904/1000</f>
        <v>4.9039999999999995E-3</v>
      </c>
      <c r="G132" s="71">
        <f t="shared" si="3"/>
        <v>-4.1319999999999994E-3</v>
      </c>
    </row>
    <row r="133" spans="1:7" ht="30" x14ac:dyDescent="0.25">
      <c r="A133" s="30" t="s">
        <v>64</v>
      </c>
      <c r="B133" s="25" t="s">
        <v>101</v>
      </c>
      <c r="C133" s="11" t="s">
        <v>161</v>
      </c>
      <c r="D133" s="34">
        <v>7</v>
      </c>
      <c r="E133" s="61">
        <v>1.054E-3</v>
      </c>
      <c r="F133" s="61">
        <v>1.3190000000000001E-3</v>
      </c>
      <c r="G133" s="59">
        <f t="shared" si="3"/>
        <v>-2.6500000000000004E-4</v>
      </c>
    </row>
    <row r="134" spans="1:7" ht="30" x14ac:dyDescent="0.25">
      <c r="A134" s="30" t="s">
        <v>64</v>
      </c>
      <c r="B134" s="25" t="s">
        <v>103</v>
      </c>
      <c r="C134" s="12" t="s">
        <v>162</v>
      </c>
      <c r="D134" s="34">
        <v>7</v>
      </c>
      <c r="E134" s="65">
        <v>4.0000000000000002E-4</v>
      </c>
      <c r="F134" s="60">
        <f>2.2391/1000</f>
        <v>2.2390999999999999E-3</v>
      </c>
      <c r="G134" s="71">
        <f>E134-F134</f>
        <v>-1.8391E-3</v>
      </c>
    </row>
    <row r="135" spans="1:7" ht="45" x14ac:dyDescent="0.25">
      <c r="A135" s="30" t="s">
        <v>64</v>
      </c>
      <c r="B135" s="25" t="s">
        <v>104</v>
      </c>
      <c r="C135" s="12" t="s">
        <v>162</v>
      </c>
      <c r="D135" s="34">
        <v>7</v>
      </c>
      <c r="E135" s="65">
        <v>4.0000000000000002E-4</v>
      </c>
      <c r="F135" s="60">
        <f>0.866/1000</f>
        <v>8.6600000000000002E-4</v>
      </c>
      <c r="G135" s="71">
        <f>E135-F135</f>
        <v>-4.66E-4</v>
      </c>
    </row>
    <row r="136" spans="1:7" ht="29.25" customHeight="1" x14ac:dyDescent="0.25">
      <c r="A136" s="30" t="s">
        <v>64</v>
      </c>
      <c r="B136" s="19" t="s">
        <v>174</v>
      </c>
      <c r="C136" s="11" t="s">
        <v>180</v>
      </c>
      <c r="D136" s="34">
        <v>6</v>
      </c>
      <c r="E136" s="65">
        <v>7.0000000000000001E-3</v>
      </c>
      <c r="F136" s="60">
        <f>2.925/1000</f>
        <v>2.9249999999999996E-3</v>
      </c>
      <c r="G136" s="71">
        <f t="shared" si="3"/>
        <v>4.0750000000000005E-3</v>
      </c>
    </row>
    <row r="137" spans="1:7" ht="45" x14ac:dyDescent="0.25">
      <c r="A137" s="30" t="s">
        <v>64</v>
      </c>
      <c r="B137" s="19" t="s">
        <v>105</v>
      </c>
      <c r="C137" s="11" t="s">
        <v>180</v>
      </c>
      <c r="D137" s="34">
        <v>6</v>
      </c>
      <c r="E137" s="65">
        <v>6.0000000000000001E-3</v>
      </c>
      <c r="F137" s="60">
        <f>1.226/1000</f>
        <v>1.2259999999999999E-3</v>
      </c>
      <c r="G137" s="71">
        <f t="shared" si="3"/>
        <v>4.7740000000000005E-3</v>
      </c>
    </row>
    <row r="138" spans="1:7" ht="30" x14ac:dyDescent="0.25">
      <c r="A138" s="30" t="s">
        <v>64</v>
      </c>
      <c r="B138" s="19" t="s">
        <v>106</v>
      </c>
      <c r="C138" s="12" t="s">
        <v>241</v>
      </c>
      <c r="D138" s="34">
        <v>6</v>
      </c>
      <c r="E138" s="65">
        <v>2.5000000000000001E-3</v>
      </c>
      <c r="F138" s="60">
        <f>2.44/1000</f>
        <v>2.4399999999999999E-3</v>
      </c>
      <c r="G138" s="71">
        <f t="shared" si="3"/>
        <v>6.0000000000000157E-5</v>
      </c>
    </row>
    <row r="139" spans="1:7" ht="30" x14ac:dyDescent="0.25">
      <c r="A139" s="30" t="s">
        <v>64</v>
      </c>
      <c r="B139" s="19" t="s">
        <v>107</v>
      </c>
      <c r="C139" s="12" t="s">
        <v>207</v>
      </c>
      <c r="D139" s="34">
        <v>6</v>
      </c>
      <c r="E139" s="61">
        <v>1.5E-3</v>
      </c>
      <c r="F139" s="60">
        <f>1.27/1000</f>
        <v>1.2700000000000001E-3</v>
      </c>
      <c r="G139" s="59">
        <f t="shared" si="3"/>
        <v>2.2999999999999995E-4</v>
      </c>
    </row>
    <row r="140" spans="1:7" ht="30" x14ac:dyDescent="0.25">
      <c r="A140" s="30" t="s">
        <v>64</v>
      </c>
      <c r="B140" s="19" t="s">
        <v>108</v>
      </c>
      <c r="C140" s="11" t="s">
        <v>180</v>
      </c>
      <c r="D140" s="34">
        <v>6</v>
      </c>
      <c r="E140" s="65">
        <v>2.3999999999999998E-3</v>
      </c>
      <c r="F140" s="61">
        <v>2.3999999999999998E-3</v>
      </c>
      <c r="G140" s="71">
        <f t="shared" si="3"/>
        <v>0</v>
      </c>
    </row>
    <row r="141" spans="1:7" ht="60" x14ac:dyDescent="0.25">
      <c r="A141" s="30" t="s">
        <v>64</v>
      </c>
      <c r="B141" s="51" t="s">
        <v>242</v>
      </c>
      <c r="C141" s="11" t="s">
        <v>180</v>
      </c>
      <c r="D141" s="34">
        <v>7</v>
      </c>
      <c r="E141" s="60">
        <f>1.08/1000</f>
        <v>1.08E-3</v>
      </c>
      <c r="F141" s="60">
        <f>2.908/1000</f>
        <v>2.908E-3</v>
      </c>
      <c r="G141" s="71">
        <f t="shared" si="3"/>
        <v>-1.828E-3</v>
      </c>
    </row>
    <row r="142" spans="1:7" ht="60" x14ac:dyDescent="0.25">
      <c r="A142" s="30" t="s">
        <v>64</v>
      </c>
      <c r="B142" s="50" t="s">
        <v>243</v>
      </c>
      <c r="C142" s="11" t="s">
        <v>180</v>
      </c>
      <c r="D142" s="34">
        <v>7</v>
      </c>
      <c r="E142" s="61">
        <v>1.08E-3</v>
      </c>
      <c r="F142" s="60">
        <f>2.705/1000</f>
        <v>2.7049999999999999E-3</v>
      </c>
      <c r="G142" s="71">
        <f t="shared" si="3"/>
        <v>-1.6249999999999999E-3</v>
      </c>
    </row>
    <row r="143" spans="1:7" ht="45" x14ac:dyDescent="0.25">
      <c r="A143" s="30" t="s">
        <v>64</v>
      </c>
      <c r="B143" s="25" t="s">
        <v>110</v>
      </c>
      <c r="C143" s="11" t="s">
        <v>180</v>
      </c>
      <c r="D143" s="34">
        <v>7</v>
      </c>
      <c r="E143" s="60">
        <f>0.9/1000</f>
        <v>8.9999999999999998E-4</v>
      </c>
      <c r="F143" s="60">
        <f>0.9/1000</f>
        <v>8.9999999999999998E-4</v>
      </c>
      <c r="G143" s="71">
        <f t="shared" si="3"/>
        <v>0</v>
      </c>
    </row>
    <row r="144" spans="1:7" ht="30" x14ac:dyDescent="0.25">
      <c r="A144" s="30" t="s">
        <v>64</v>
      </c>
      <c r="B144" s="25" t="s">
        <v>109</v>
      </c>
      <c r="C144" s="11" t="s">
        <v>180</v>
      </c>
      <c r="D144" s="34">
        <v>6</v>
      </c>
      <c r="E144" s="65">
        <v>1.8E-3</v>
      </c>
      <c r="F144" s="60">
        <f>1.416/1000</f>
        <v>1.4159999999999999E-3</v>
      </c>
      <c r="G144" s="71">
        <f t="shared" si="3"/>
        <v>3.8400000000000001E-4</v>
      </c>
    </row>
    <row r="145" spans="1:7" x14ac:dyDescent="0.25">
      <c r="A145" s="30" t="s">
        <v>64</v>
      </c>
      <c r="B145" s="19" t="s">
        <v>111</v>
      </c>
      <c r="C145" s="12" t="s">
        <v>207</v>
      </c>
      <c r="D145" s="34">
        <v>7</v>
      </c>
      <c r="E145" s="60">
        <f>1.2/1000</f>
        <v>1.1999999999999999E-3</v>
      </c>
      <c r="F145" s="60">
        <f>1.2/1000</f>
        <v>1.1999999999999999E-3</v>
      </c>
      <c r="G145" s="71">
        <f t="shared" si="3"/>
        <v>0</v>
      </c>
    </row>
    <row r="146" spans="1:7" x14ac:dyDescent="0.25">
      <c r="A146" s="30" t="s">
        <v>64</v>
      </c>
      <c r="B146" s="19" t="s">
        <v>112</v>
      </c>
      <c r="C146" s="12" t="s">
        <v>163</v>
      </c>
      <c r="D146" s="34">
        <v>7</v>
      </c>
      <c r="E146" s="60">
        <f>1.2/1000</f>
        <v>1.1999999999999999E-3</v>
      </c>
      <c r="F146" s="60">
        <f>1.29/1000</f>
        <v>1.2900000000000001E-3</v>
      </c>
      <c r="G146" s="71">
        <f t="shared" si="3"/>
        <v>-9.0000000000000236E-5</v>
      </c>
    </row>
    <row r="147" spans="1:7" ht="29.25" customHeight="1" x14ac:dyDescent="0.25">
      <c r="A147" s="30" t="s">
        <v>64</v>
      </c>
      <c r="B147" s="19" t="s">
        <v>113</v>
      </c>
      <c r="C147" s="11" t="s">
        <v>180</v>
      </c>
      <c r="D147" s="34">
        <v>7</v>
      </c>
      <c r="E147" s="65">
        <v>7.5000000000000002E-4</v>
      </c>
      <c r="F147" s="65">
        <v>3.8499999999999998E-4</v>
      </c>
      <c r="G147" s="59">
        <f t="shared" si="3"/>
        <v>3.6500000000000004E-4</v>
      </c>
    </row>
    <row r="148" spans="1:7" x14ac:dyDescent="0.25">
      <c r="A148" s="30" t="s">
        <v>64</v>
      </c>
      <c r="B148" s="19" t="s">
        <v>114</v>
      </c>
      <c r="C148" s="12" t="s">
        <v>164</v>
      </c>
      <c r="D148" s="34">
        <v>7</v>
      </c>
      <c r="E148" s="65">
        <v>1.1999999999999999E-3</v>
      </c>
      <c r="F148" s="60">
        <f>0.678/1000</f>
        <v>6.78E-4</v>
      </c>
      <c r="G148" s="71">
        <f t="shared" si="3"/>
        <v>5.2199999999999989E-4</v>
      </c>
    </row>
    <row r="149" spans="1:7" ht="30" x14ac:dyDescent="0.25">
      <c r="A149" s="30" t="s">
        <v>64</v>
      </c>
      <c r="B149" s="19" t="s">
        <v>91</v>
      </c>
      <c r="C149" s="11" t="s">
        <v>180</v>
      </c>
      <c r="D149" s="34">
        <v>7</v>
      </c>
      <c r="E149" s="65">
        <v>2.5000000000000001E-4</v>
      </c>
      <c r="F149" s="65">
        <v>2.5000000000000001E-4</v>
      </c>
      <c r="G149" s="59">
        <f t="shared" si="3"/>
        <v>0</v>
      </c>
    </row>
    <row r="150" spans="1:7" ht="30" x14ac:dyDescent="0.25">
      <c r="A150" s="30" t="s">
        <v>64</v>
      </c>
      <c r="B150" s="19" t="s">
        <v>115</v>
      </c>
      <c r="C150" s="12" t="s">
        <v>207</v>
      </c>
      <c r="D150" s="34">
        <v>7</v>
      </c>
      <c r="E150" s="61">
        <v>8.9999999999999998E-4</v>
      </c>
      <c r="F150" s="61">
        <v>8.9999999999999998E-4</v>
      </c>
      <c r="G150" s="59">
        <f t="shared" si="3"/>
        <v>0</v>
      </c>
    </row>
    <row r="151" spans="1:7" ht="45" x14ac:dyDescent="0.25">
      <c r="A151" s="30" t="s">
        <v>64</v>
      </c>
      <c r="B151" s="19" t="s">
        <v>116</v>
      </c>
      <c r="C151" s="12" t="s">
        <v>148</v>
      </c>
      <c r="D151" s="34">
        <v>7</v>
      </c>
      <c r="E151" s="65">
        <v>4.86E-4</v>
      </c>
      <c r="F151" s="61">
        <v>0</v>
      </c>
      <c r="G151" s="71">
        <f t="shared" si="3"/>
        <v>4.86E-4</v>
      </c>
    </row>
    <row r="152" spans="1:7" ht="45" x14ac:dyDescent="0.25">
      <c r="A152" s="30" t="s">
        <v>64</v>
      </c>
      <c r="B152" s="25" t="s">
        <v>208</v>
      </c>
      <c r="C152" s="25" t="s">
        <v>209</v>
      </c>
      <c r="D152" s="34">
        <v>7</v>
      </c>
      <c r="E152" s="60">
        <f>1/1000</f>
        <v>1E-3</v>
      </c>
      <c r="F152" s="60">
        <f>0.393/1000</f>
        <v>3.9300000000000001E-4</v>
      </c>
      <c r="G152" s="71">
        <f t="shared" si="3"/>
        <v>6.0700000000000001E-4</v>
      </c>
    </row>
    <row r="153" spans="1:7" ht="30" x14ac:dyDescent="0.25">
      <c r="A153" s="30" t="s">
        <v>64</v>
      </c>
      <c r="B153" s="25" t="s">
        <v>210</v>
      </c>
      <c r="C153" s="25" t="s">
        <v>211</v>
      </c>
      <c r="D153" s="34">
        <v>7</v>
      </c>
      <c r="E153" s="65">
        <v>0</v>
      </c>
      <c r="F153" s="61">
        <v>0</v>
      </c>
      <c r="G153" s="71">
        <f t="shared" si="3"/>
        <v>0</v>
      </c>
    </row>
    <row r="154" spans="1:7" x14ac:dyDescent="0.25">
      <c r="A154" s="30" t="s">
        <v>64</v>
      </c>
      <c r="B154" s="25" t="s">
        <v>212</v>
      </c>
      <c r="C154" s="25" t="s">
        <v>213</v>
      </c>
      <c r="D154" s="34">
        <v>6</v>
      </c>
      <c r="E154" s="65">
        <v>8.9999999999999993E-3</v>
      </c>
      <c r="F154" s="65">
        <v>8.9999999999999993E-3</v>
      </c>
      <c r="G154" s="59">
        <f t="shared" si="3"/>
        <v>0</v>
      </c>
    </row>
    <row r="155" spans="1:7" ht="60" x14ac:dyDescent="0.25">
      <c r="A155" s="30" t="s">
        <v>64</v>
      </c>
      <c r="B155" s="25" t="s">
        <v>214</v>
      </c>
      <c r="C155" s="25" t="s">
        <v>215</v>
      </c>
      <c r="D155" s="34">
        <v>6</v>
      </c>
      <c r="E155" s="60">
        <f>6/1000</f>
        <v>6.0000000000000001E-3</v>
      </c>
      <c r="F155" s="60">
        <f>4.626/1000</f>
        <v>4.6259999999999999E-3</v>
      </c>
      <c r="G155" s="71">
        <f t="shared" si="3"/>
        <v>1.3740000000000002E-3</v>
      </c>
    </row>
    <row r="156" spans="1:7" x14ac:dyDescent="0.25">
      <c r="A156" s="30" t="s">
        <v>64</v>
      </c>
      <c r="B156" s="25" t="s">
        <v>216</v>
      </c>
      <c r="C156" s="25" t="s">
        <v>217</v>
      </c>
      <c r="D156" s="34">
        <v>4</v>
      </c>
      <c r="E156" s="68">
        <f>923/1000</f>
        <v>0.92300000000000004</v>
      </c>
      <c r="F156" s="68">
        <f>1272.043/1000</f>
        <v>1.2720429999999998</v>
      </c>
      <c r="G156" s="71">
        <f>E156-F156</f>
        <v>-0.34904299999999977</v>
      </c>
    </row>
    <row r="157" spans="1:7" ht="45" x14ac:dyDescent="0.25">
      <c r="A157" s="30" t="s">
        <v>64</v>
      </c>
      <c r="B157" s="25" t="s">
        <v>218</v>
      </c>
      <c r="C157" s="25" t="s">
        <v>219</v>
      </c>
      <c r="D157" s="34">
        <v>6</v>
      </c>
      <c r="E157" s="65">
        <v>5.0000000000000001E-3</v>
      </c>
      <c r="F157" s="61">
        <v>0</v>
      </c>
      <c r="G157" s="71">
        <f t="shared" si="3"/>
        <v>5.0000000000000001E-3</v>
      </c>
    </row>
    <row r="158" spans="1:7" ht="45" x14ac:dyDescent="0.25">
      <c r="A158" s="30" t="s">
        <v>64</v>
      </c>
      <c r="B158" s="25" t="s">
        <v>118</v>
      </c>
      <c r="C158" s="25" t="s">
        <v>166</v>
      </c>
      <c r="D158" s="34">
        <v>7</v>
      </c>
      <c r="E158" s="65">
        <v>2.1999999999999999E-5</v>
      </c>
      <c r="F158" s="60">
        <f>0.011/1000</f>
        <v>1.1E-5</v>
      </c>
      <c r="G158" s="71">
        <f t="shared" si="3"/>
        <v>1.1E-5</v>
      </c>
    </row>
    <row r="159" spans="1:7" ht="45" x14ac:dyDescent="0.25">
      <c r="A159" s="32" t="s">
        <v>64</v>
      </c>
      <c r="B159" s="39" t="s">
        <v>117</v>
      </c>
      <c r="C159" s="39" t="s">
        <v>165</v>
      </c>
      <c r="D159" s="35">
        <v>7</v>
      </c>
      <c r="E159" s="73">
        <v>2.1999999999999999E-5</v>
      </c>
      <c r="F159" s="75">
        <v>2.1999999999999999E-5</v>
      </c>
      <c r="G159" s="76">
        <f t="shared" si="3"/>
        <v>0</v>
      </c>
    </row>
    <row r="160" spans="1:7" ht="90" x14ac:dyDescent="0.25">
      <c r="A160" s="17" t="s">
        <v>64</v>
      </c>
      <c r="B160" s="40" t="s">
        <v>119</v>
      </c>
      <c r="C160" s="12" t="s">
        <v>167</v>
      </c>
      <c r="D160" s="41">
        <v>6</v>
      </c>
      <c r="E160" s="61">
        <v>1.8450000000000001E-3</v>
      </c>
      <c r="F160" s="61">
        <v>0</v>
      </c>
      <c r="G160" s="59">
        <f t="shared" si="3"/>
        <v>1.8450000000000001E-3</v>
      </c>
    </row>
    <row r="161" spans="1:7" ht="60" x14ac:dyDescent="0.25">
      <c r="A161" s="17" t="s">
        <v>64</v>
      </c>
      <c r="B161" s="40" t="s">
        <v>236</v>
      </c>
      <c r="C161" s="12" t="s">
        <v>235</v>
      </c>
      <c r="D161" s="41">
        <v>7</v>
      </c>
      <c r="E161" s="61">
        <v>2E-3</v>
      </c>
      <c r="F161" s="61">
        <v>2E-3</v>
      </c>
      <c r="G161" s="59">
        <f t="shared" si="3"/>
        <v>0</v>
      </c>
    </row>
    <row r="162" spans="1:7" ht="60" x14ac:dyDescent="0.25">
      <c r="A162" s="18" t="s">
        <v>120</v>
      </c>
      <c r="B162" s="10" t="s">
        <v>121</v>
      </c>
      <c r="C162" s="11" t="s">
        <v>168</v>
      </c>
      <c r="D162" s="33">
        <v>3</v>
      </c>
      <c r="E162" s="61">
        <v>1E-3</v>
      </c>
      <c r="F162" s="61">
        <v>1E-3</v>
      </c>
      <c r="G162" s="71">
        <f t="shared" si="3"/>
        <v>0</v>
      </c>
    </row>
    <row r="163" spans="1:7" ht="30.6" customHeight="1" x14ac:dyDescent="0.25">
      <c r="A163" s="31" t="s">
        <v>122</v>
      </c>
      <c r="B163" s="25" t="s">
        <v>123</v>
      </c>
      <c r="C163" s="29" t="s">
        <v>169</v>
      </c>
      <c r="D163" s="34">
        <v>4</v>
      </c>
      <c r="E163" s="61">
        <v>0.41</v>
      </c>
      <c r="F163" s="60">
        <f>126.433/1000</f>
        <v>0.12643300000000002</v>
      </c>
      <c r="G163" s="71">
        <f t="shared" si="3"/>
        <v>0.28356699999999996</v>
      </c>
    </row>
    <row r="164" spans="1:7" ht="45" x14ac:dyDescent="0.25">
      <c r="A164" s="31" t="s">
        <v>122</v>
      </c>
      <c r="B164" s="25" t="s">
        <v>125</v>
      </c>
      <c r="C164" s="29" t="s">
        <v>169</v>
      </c>
      <c r="D164" s="34">
        <v>4</v>
      </c>
      <c r="E164" s="61">
        <v>0.2</v>
      </c>
      <c r="F164" s="61">
        <v>0.30809500000000001</v>
      </c>
      <c r="G164" s="71">
        <f t="shared" si="3"/>
        <v>-0.108095</v>
      </c>
    </row>
    <row r="165" spans="1:7" ht="45" x14ac:dyDescent="0.25">
      <c r="A165" s="31" t="s">
        <v>122</v>
      </c>
      <c r="B165" s="25" t="s">
        <v>124</v>
      </c>
      <c r="C165" s="29" t="s">
        <v>169</v>
      </c>
      <c r="D165" s="34">
        <v>4</v>
      </c>
      <c r="E165" s="61">
        <v>0.21</v>
      </c>
      <c r="F165" s="61">
        <v>0.12234100000000001</v>
      </c>
      <c r="G165" s="71">
        <f t="shared" si="3"/>
        <v>8.7658999999999987E-2</v>
      </c>
    </row>
    <row r="166" spans="1:7" ht="30" x14ac:dyDescent="0.25">
      <c r="A166" s="31" t="s">
        <v>122</v>
      </c>
      <c r="B166" s="25" t="s">
        <v>126</v>
      </c>
      <c r="C166" s="25" t="s">
        <v>176</v>
      </c>
      <c r="D166" s="34">
        <v>4</v>
      </c>
      <c r="E166" s="61">
        <v>0.39450000000000002</v>
      </c>
      <c r="F166" s="61">
        <v>0.49295600000000001</v>
      </c>
      <c r="G166" s="71">
        <f t="shared" si="3"/>
        <v>-9.8455999999999988E-2</v>
      </c>
    </row>
    <row r="167" spans="1:7" x14ac:dyDescent="0.25">
      <c r="A167" s="31" t="s">
        <v>122</v>
      </c>
      <c r="B167" s="48" t="s">
        <v>127</v>
      </c>
      <c r="C167" s="12" t="s">
        <v>170</v>
      </c>
      <c r="D167" s="34">
        <v>5</v>
      </c>
      <c r="E167" s="61">
        <v>0.05</v>
      </c>
      <c r="F167" s="60">
        <f>33.872/1000</f>
        <v>3.3871999999999999E-2</v>
      </c>
      <c r="G167" s="71">
        <f t="shared" si="3"/>
        <v>1.6128000000000003E-2</v>
      </c>
    </row>
    <row r="168" spans="1:7" x14ac:dyDescent="0.25">
      <c r="A168" s="31" t="s">
        <v>122</v>
      </c>
      <c r="B168" s="25" t="s">
        <v>220</v>
      </c>
      <c r="C168" s="25" t="s">
        <v>171</v>
      </c>
      <c r="D168" s="34">
        <v>5</v>
      </c>
      <c r="E168" s="77">
        <v>0</v>
      </c>
      <c r="F168" s="77">
        <v>0</v>
      </c>
      <c r="G168" s="71">
        <f t="shared" si="3"/>
        <v>0</v>
      </c>
    </row>
    <row r="169" spans="1:7" x14ac:dyDescent="0.25">
      <c r="A169" s="31" t="s">
        <v>122</v>
      </c>
      <c r="B169" s="19" t="s">
        <v>128</v>
      </c>
      <c r="C169" s="12" t="s">
        <v>171</v>
      </c>
      <c r="D169" s="34">
        <v>5</v>
      </c>
      <c r="E169" s="61">
        <v>3.5000000000000003E-2</v>
      </c>
      <c r="F169" s="60">
        <f>28.071/1000</f>
        <v>2.8071000000000002E-2</v>
      </c>
      <c r="G169" s="71">
        <f t="shared" si="3"/>
        <v>6.9290000000000011E-3</v>
      </c>
    </row>
    <row r="170" spans="1:7" ht="30" x14ac:dyDescent="0.25">
      <c r="A170" s="31" t="s">
        <v>122</v>
      </c>
      <c r="B170" s="19" t="s">
        <v>129</v>
      </c>
      <c r="C170" s="12" t="s">
        <v>172</v>
      </c>
      <c r="D170" s="22">
        <v>4</v>
      </c>
      <c r="E170" s="61">
        <v>0</v>
      </c>
      <c r="F170" s="61">
        <v>0</v>
      </c>
      <c r="G170" s="71">
        <f t="shared" si="3"/>
        <v>0</v>
      </c>
    </row>
    <row r="171" spans="1:7" x14ac:dyDescent="0.25">
      <c r="A171" s="31" t="s">
        <v>122</v>
      </c>
      <c r="B171" s="19" t="s">
        <v>130</v>
      </c>
      <c r="C171" s="12" t="s">
        <v>173</v>
      </c>
      <c r="D171" s="34">
        <v>5</v>
      </c>
      <c r="E171" s="60">
        <f>31.047/1000</f>
        <v>3.1047000000000002E-2</v>
      </c>
      <c r="F171" s="60">
        <f>27.276/1000</f>
        <v>2.7275999999999998E-2</v>
      </c>
      <c r="G171" s="71">
        <f t="shared" si="3"/>
        <v>3.7710000000000035E-3</v>
      </c>
    </row>
    <row r="172" spans="1:7" ht="30" x14ac:dyDescent="0.25">
      <c r="A172" s="31" t="s">
        <v>122</v>
      </c>
      <c r="B172" s="19" t="s">
        <v>131</v>
      </c>
      <c r="C172" s="11" t="s">
        <v>180</v>
      </c>
      <c r="D172" s="34">
        <v>5</v>
      </c>
      <c r="E172" s="68">
        <f>20.8/1000</f>
        <v>2.0799999999999999E-2</v>
      </c>
      <c r="F172" s="68">
        <f>18.027/1000</f>
        <v>1.8027000000000001E-2</v>
      </c>
      <c r="G172" s="71">
        <f t="shared" si="3"/>
        <v>2.7729999999999977E-3</v>
      </c>
    </row>
    <row r="173" spans="1:7" ht="45" x14ac:dyDescent="0.25">
      <c r="A173" s="31" t="s">
        <v>122</v>
      </c>
      <c r="B173" s="19" t="s">
        <v>221</v>
      </c>
      <c r="C173" s="20" t="s">
        <v>140</v>
      </c>
      <c r="D173" s="22">
        <v>4</v>
      </c>
      <c r="E173" s="61">
        <v>3.6649999999999999E-3</v>
      </c>
      <c r="F173" s="61">
        <v>3.6649999999999999E-3</v>
      </c>
      <c r="G173" s="71">
        <f t="shared" si="3"/>
        <v>0</v>
      </c>
    </row>
    <row r="174" spans="1:7" ht="45" x14ac:dyDescent="0.25">
      <c r="A174" s="31" t="s">
        <v>122</v>
      </c>
      <c r="B174" s="19" t="s">
        <v>222</v>
      </c>
      <c r="C174" s="20" t="s">
        <v>140</v>
      </c>
      <c r="D174" s="22">
        <v>4</v>
      </c>
      <c r="E174" s="61">
        <v>3.7500000000000001E-4</v>
      </c>
      <c r="F174" s="61">
        <v>3.7500000000000001E-4</v>
      </c>
      <c r="G174" s="71">
        <f t="shared" si="3"/>
        <v>0</v>
      </c>
    </row>
    <row r="175" spans="1:7" ht="45" x14ac:dyDescent="0.25">
      <c r="A175" s="31" t="s">
        <v>122</v>
      </c>
      <c r="B175" s="19" t="s">
        <v>132</v>
      </c>
      <c r="C175" s="12" t="s">
        <v>175</v>
      </c>
      <c r="D175" s="34">
        <v>6</v>
      </c>
      <c r="E175" s="61">
        <v>0</v>
      </c>
      <c r="F175" s="61">
        <v>0</v>
      </c>
      <c r="G175" s="71">
        <f t="shared" si="3"/>
        <v>0</v>
      </c>
    </row>
    <row r="176" spans="1:7" ht="45" x14ac:dyDescent="0.25">
      <c r="A176" s="11" t="s">
        <v>133</v>
      </c>
      <c r="B176" s="19" t="s">
        <v>134</v>
      </c>
      <c r="C176" s="11" t="s">
        <v>169</v>
      </c>
      <c r="D176" s="34">
        <v>4</v>
      </c>
      <c r="E176" s="61">
        <v>0.21</v>
      </c>
      <c r="F176" s="61">
        <v>0.139123</v>
      </c>
      <c r="G176" s="71">
        <f t="shared" si="3"/>
        <v>7.0876999999999996E-2</v>
      </c>
    </row>
    <row r="177" spans="1:7" ht="60" x14ac:dyDescent="0.25">
      <c r="A177" s="11" t="s">
        <v>133</v>
      </c>
      <c r="B177" s="19" t="s">
        <v>135</v>
      </c>
      <c r="C177" s="11" t="s">
        <v>140</v>
      </c>
      <c r="D177" s="22">
        <v>4</v>
      </c>
      <c r="E177" s="61">
        <v>1.4660000000000001E-3</v>
      </c>
      <c r="F177" s="61">
        <v>1.4660000000000001E-3</v>
      </c>
      <c r="G177" s="71">
        <f t="shared" si="3"/>
        <v>0</v>
      </c>
    </row>
    <row r="178" spans="1:7" ht="60" x14ac:dyDescent="0.25">
      <c r="A178" s="11" t="s">
        <v>133</v>
      </c>
      <c r="B178" s="19" t="s">
        <v>223</v>
      </c>
      <c r="C178" s="11" t="s">
        <v>140</v>
      </c>
      <c r="D178" s="22">
        <v>4</v>
      </c>
      <c r="E178" s="60">
        <f>0.075/1000</f>
        <v>7.4999999999999993E-5</v>
      </c>
      <c r="F178" s="60">
        <f>0.075/1000</f>
        <v>7.4999999999999993E-5</v>
      </c>
      <c r="G178" s="71">
        <f>E178-F178</f>
        <v>0</v>
      </c>
    </row>
    <row r="179" spans="1:7" ht="30.75" thickBot="1" x14ac:dyDescent="0.3">
      <c r="A179" s="36" t="s">
        <v>136</v>
      </c>
      <c r="B179" s="19" t="s">
        <v>137</v>
      </c>
      <c r="C179" s="11" t="s">
        <v>154</v>
      </c>
      <c r="D179" s="22">
        <v>4</v>
      </c>
      <c r="E179" s="67">
        <v>0</v>
      </c>
      <c r="F179" s="66">
        <f>123.348/1000</f>
        <v>0.123348</v>
      </c>
      <c r="G179" s="71">
        <f t="shared" si="3"/>
        <v>-0.123348</v>
      </c>
    </row>
    <row r="180" spans="1:7" ht="15.75" thickBot="1" x14ac:dyDescent="0.3">
      <c r="A180" s="6" t="s">
        <v>6</v>
      </c>
      <c r="B180" s="8"/>
      <c r="C180" s="9"/>
      <c r="D180" s="7"/>
      <c r="E180" s="69">
        <f>SUM(E22:E179)</f>
        <v>20.175665000000016</v>
      </c>
      <c r="F180" s="69">
        <f>SUM(F22:F179)</f>
        <v>16.480700100000004</v>
      </c>
      <c r="G180" s="55">
        <f>SUM(G22:G179)</f>
        <v>3.6949648999999978</v>
      </c>
    </row>
    <row r="181" spans="1:7" x14ac:dyDescent="0.25">
      <c r="A181" s="3"/>
    </row>
    <row r="182" spans="1:7" x14ac:dyDescent="0.25">
      <c r="A182" s="4"/>
    </row>
    <row r="183" spans="1:7" ht="75.75" customHeight="1" x14ac:dyDescent="0.25">
      <c r="A183" s="5"/>
    </row>
    <row r="184" spans="1:7" ht="94.5" customHeight="1" x14ac:dyDescent="0.25"/>
    <row r="185" spans="1:7" ht="113.25" customHeight="1" x14ac:dyDescent="0.25"/>
    <row r="186" spans="1:7" ht="75.75" customHeight="1" x14ac:dyDescent="0.25"/>
    <row r="187" spans="1:7" ht="94.5" customHeight="1" x14ac:dyDescent="0.25"/>
    <row r="188" spans="1:7" ht="75.75" customHeight="1" x14ac:dyDescent="0.25"/>
    <row r="189" spans="1:7" ht="94.5" customHeight="1" x14ac:dyDescent="0.25"/>
    <row r="190" spans="1:7" ht="94.5" customHeight="1" x14ac:dyDescent="0.25"/>
    <row r="191" spans="1:7" ht="113.25" customHeight="1" x14ac:dyDescent="0.25"/>
  </sheetData>
  <autoFilter ref="A21:G180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2022-02-08T03:32:38Z</dcterms:modified>
  <cp:contentStatus/>
</cp:coreProperties>
</file>